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15" yWindow="-15" windowWidth="24300" windowHeight="6480" tabRatio="830"/>
  </bookViews>
  <sheets>
    <sheet name="Procedura" sheetId="19" r:id="rId1"/>
    <sheet name=" Dati tecnici e stima domanda" sheetId="6" r:id="rId2"/>
    <sheet name="Vettori energetici" sheetId="9" r:id="rId3"/>
    <sheet name="Investimenti" sheetId="7" r:id="rId4"/>
    <sheet name="Incentivi" sheetId="16" r:id="rId5"/>
    <sheet name="Personale" sheetId="15" r:id="rId6"/>
    <sheet name="Costi" sheetId="1" r:id="rId7"/>
    <sheet name="Prezzi e Ricavi" sheetId="2" r:id="rId8"/>
    <sheet name="Indicatori tecnici" sheetId="3" r:id="rId9"/>
    <sheet name="Indicatori economici" sheetId="4" r:id="rId10"/>
    <sheet name="Indicatori ambientali" sheetId="13" r:id="rId11"/>
    <sheet name="Business Plan" sheetId="18" r:id="rId12"/>
    <sheet name="Riassunto" sheetId="20" r:id="rId13"/>
    <sheet name="info" sheetId="17" r:id="rId14"/>
  </sheets>
  <definedNames>
    <definedName name="_xlnm.Print_Area" localSheetId="8">'Indicatori tecnici'!$A$1:$K$42</definedName>
    <definedName name="_xlnm.Print_Area" localSheetId="3">Investimenti!$A$2:$P$24</definedName>
  </definedNames>
  <calcPr calcId="145621"/>
</workbook>
</file>

<file path=xl/calcChain.xml><?xml version="1.0" encoding="utf-8"?>
<calcChain xmlns="http://schemas.openxmlformats.org/spreadsheetml/2006/main">
  <c r="L19" i="9" l="1"/>
  <c r="L22" i="9"/>
  <c r="H22" i="9" l="1"/>
  <c r="B13" i="20" l="1"/>
  <c r="H15" i="16" l="1"/>
  <c r="E25" i="18" l="1"/>
  <c r="F25" i="18"/>
  <c r="G25" i="18"/>
  <c r="H25" i="18"/>
  <c r="I25" i="18"/>
  <c r="J25"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D35" i="18" l="1"/>
  <c r="E35" i="18" s="1"/>
  <c r="E44" i="18"/>
  <c r="F44" i="18" s="1"/>
  <c r="G44" i="18" s="1"/>
  <c r="H44" i="18" s="1"/>
  <c r="I44" i="18" s="1"/>
  <c r="J44" i="18" s="1"/>
  <c r="K44" i="18" s="1"/>
  <c r="L44" i="18" s="1"/>
  <c r="M44" i="18" s="1"/>
  <c r="N44" i="18" s="1"/>
  <c r="O44" i="18" s="1"/>
  <c r="P44" i="18" s="1"/>
  <c r="Q44" i="18" s="1"/>
  <c r="R44" i="18" s="1"/>
  <c r="S44" i="18" s="1"/>
  <c r="T44" i="18" s="1"/>
  <c r="U44" i="18" s="1"/>
  <c r="V44" i="18" s="1"/>
  <c r="W44" i="18" s="1"/>
  <c r="X44" i="18" s="1"/>
  <c r="Y44" i="18" s="1"/>
  <c r="Z44" i="18" s="1"/>
  <c r="AA44" i="18" s="1"/>
  <c r="AB44" i="18" s="1"/>
  <c r="AC44" i="18" s="1"/>
  <c r="AD44" i="18" s="1"/>
  <c r="AE44" i="18" s="1"/>
  <c r="AF44" i="18" s="1"/>
  <c r="AG44" i="18" s="1"/>
  <c r="AH44" i="18" s="1"/>
  <c r="D25" i="18"/>
  <c r="B58" i="20"/>
  <c r="B12" i="20"/>
  <c r="B11" i="20"/>
  <c r="B10" i="20"/>
  <c r="G18" i="4"/>
  <c r="G17" i="4"/>
  <c r="F35" i="18" l="1"/>
  <c r="G23" i="4"/>
  <c r="D12" i="2"/>
  <c r="E4" i="2"/>
  <c r="R52" i="7"/>
  <c r="AC10" i="7"/>
  <c r="H40" i="18" l="1"/>
  <c r="L40" i="18"/>
  <c r="P40" i="18"/>
  <c r="T40" i="18"/>
  <c r="X40" i="18"/>
  <c r="AB40" i="18"/>
  <c r="AF40" i="18"/>
  <c r="AH40" i="18"/>
  <c r="I40" i="18"/>
  <c r="M40" i="18"/>
  <c r="Q40" i="18"/>
  <c r="U40" i="18"/>
  <c r="Y40" i="18"/>
  <c r="AC40" i="18"/>
  <c r="AG40" i="18"/>
  <c r="F40" i="18"/>
  <c r="J40" i="18"/>
  <c r="N40" i="18"/>
  <c r="R40" i="18"/>
  <c r="V40" i="18"/>
  <c r="Z40" i="18"/>
  <c r="AD40" i="18"/>
  <c r="E40" i="18"/>
  <c r="G40" i="18"/>
  <c r="K40" i="18"/>
  <c r="O40" i="18"/>
  <c r="S40" i="18"/>
  <c r="W40" i="18"/>
  <c r="AA40" i="18"/>
  <c r="AE40" i="18"/>
  <c r="D40" i="18"/>
  <c r="G35" i="18"/>
  <c r="B7" i="3"/>
  <c r="H35" i="18" l="1"/>
  <c r="D5" i="6"/>
  <c r="I35" i="18" l="1"/>
  <c r="D13" i="6"/>
  <c r="G22" i="4" l="1"/>
  <c r="G21" i="4"/>
  <c r="D59" i="6"/>
  <c r="E7" i="3" s="1"/>
  <c r="J35" i="18"/>
  <c r="O34" i="20"/>
  <c r="K34" i="20"/>
  <c r="O33" i="20"/>
  <c r="O27" i="20"/>
  <c r="O28" i="20"/>
  <c r="O31" i="20"/>
  <c r="O32" i="20"/>
  <c r="O24" i="20"/>
  <c r="O25" i="20"/>
  <c r="O26" i="20"/>
  <c r="K26" i="20"/>
  <c r="K27" i="20"/>
  <c r="K28" i="20"/>
  <c r="K29" i="20"/>
  <c r="K30" i="20"/>
  <c r="K31" i="20"/>
  <c r="K32" i="20"/>
  <c r="K33" i="20"/>
  <c r="K23" i="20"/>
  <c r="K24" i="20"/>
  <c r="K25" i="20"/>
  <c r="K22" i="20"/>
  <c r="K35" i="18" l="1"/>
  <c r="O12" i="20"/>
  <c r="O13" i="20"/>
  <c r="K13" i="20"/>
  <c r="K19" i="20"/>
  <c r="K18" i="20"/>
  <c r="O16" i="20"/>
  <c r="O17" i="20"/>
  <c r="O18" i="20"/>
  <c r="O15" i="20"/>
  <c r="K16" i="20"/>
  <c r="K17" i="20"/>
  <c r="K15" i="20"/>
  <c r="K12" i="20"/>
  <c r="K7" i="20"/>
  <c r="K8" i="20"/>
  <c r="K9" i="20"/>
  <c r="K10" i="20"/>
  <c r="K11" i="20"/>
  <c r="K6" i="20"/>
  <c r="L35" i="18" l="1"/>
  <c r="F15" i="7"/>
  <c r="J15" i="7"/>
  <c r="F21" i="7"/>
  <c r="J21" i="7"/>
  <c r="J35" i="7"/>
  <c r="F34" i="7"/>
  <c r="J34" i="7"/>
  <c r="F36" i="7"/>
  <c r="J36" i="7"/>
  <c r="M35" i="18" l="1"/>
  <c r="D3" i="20"/>
  <c r="N35" i="18" l="1"/>
  <c r="F43" i="20"/>
  <c r="F42" i="20"/>
  <c r="E43" i="20"/>
  <c r="E42" i="20"/>
  <c r="C42" i="20"/>
  <c r="D26" i="3"/>
  <c r="O35" i="18" l="1"/>
  <c r="R8" i="7"/>
  <c r="R9" i="7"/>
  <c r="B27" i="9"/>
  <c r="L26" i="9"/>
  <c r="D73" i="6"/>
  <c r="D71" i="6"/>
  <c r="P35" i="18" l="1"/>
  <c r="D28" i="18"/>
  <c r="E51" i="18"/>
  <c r="F51" i="18" s="1"/>
  <c r="G51" i="18" s="1"/>
  <c r="H51" i="18" s="1"/>
  <c r="I51" i="18" s="1"/>
  <c r="J51" i="18" s="1"/>
  <c r="K51" i="18" s="1"/>
  <c r="L51" i="18" s="1"/>
  <c r="M51" i="18" s="1"/>
  <c r="N51" i="18" s="1"/>
  <c r="O51" i="18" s="1"/>
  <c r="P51" i="18" s="1"/>
  <c r="Q51" i="18" s="1"/>
  <c r="R51" i="18" s="1"/>
  <c r="S51" i="18" s="1"/>
  <c r="T51" i="18" s="1"/>
  <c r="U51" i="18" s="1"/>
  <c r="V51" i="18" s="1"/>
  <c r="W51" i="18" s="1"/>
  <c r="X51" i="18" s="1"/>
  <c r="Y51" i="18" s="1"/>
  <c r="Z51" i="18" s="1"/>
  <c r="AA51" i="18" s="1"/>
  <c r="AB51" i="18" s="1"/>
  <c r="AC51" i="18" s="1"/>
  <c r="AD51" i="18" s="1"/>
  <c r="AE51" i="18" s="1"/>
  <c r="AF51" i="18" s="1"/>
  <c r="AG51" i="18" s="1"/>
  <c r="AH51" i="18" s="1"/>
  <c r="Q35" i="18" l="1"/>
  <c r="R35" i="18" l="1"/>
  <c r="S35" i="18" l="1"/>
  <c r="T35" i="18" l="1"/>
  <c r="U35" i="18" l="1"/>
  <c r="V35" i="18" l="1"/>
  <c r="W35" i="18" l="1"/>
  <c r="X35" i="18" l="1"/>
  <c r="Y35" i="18" l="1"/>
  <c r="Z35" i="18" l="1"/>
  <c r="AA35" i="18" l="1"/>
  <c r="AB35" i="18" l="1"/>
  <c r="AC35" i="18" l="1"/>
  <c r="AD35" i="18" l="1"/>
  <c r="AE35" i="18" l="1"/>
  <c r="AF35" i="18" l="1"/>
  <c r="AG35" i="18" l="1"/>
  <c r="AH35" i="18" l="1"/>
  <c r="AI35" i="18" l="1"/>
  <c r="AI25" i="18" l="1"/>
  <c r="M7" i="7" l="1"/>
  <c r="C43" i="20" s="1"/>
  <c r="F26" i="7"/>
  <c r="F27" i="7"/>
  <c r="F28" i="7"/>
  <c r="F29" i="7"/>
  <c r="F30" i="7"/>
  <c r="F31" i="7"/>
  <c r="F37" i="7"/>
  <c r="F25" i="7"/>
  <c r="F19" i="7"/>
  <c r="F20" i="7"/>
  <c r="F22" i="7"/>
  <c r="F18" i="7"/>
  <c r="F13" i="7"/>
  <c r="F17" i="7" l="1"/>
  <c r="D14" i="1" s="1"/>
  <c r="O29" i="20"/>
  <c r="O30" i="20"/>
  <c r="F33" i="7" l="1"/>
  <c r="F32" i="7"/>
  <c r="F35" i="7"/>
  <c r="C26" i="3"/>
  <c r="O44" i="20"/>
  <c r="O43" i="20"/>
  <c r="B23" i="16"/>
  <c r="B22" i="16"/>
  <c r="B21" i="16"/>
  <c r="B20" i="16"/>
  <c r="B19" i="16"/>
  <c r="F24" i="7" l="1"/>
  <c r="P21" i="9"/>
  <c r="G20" i="9"/>
  <c r="H20" i="9" s="1"/>
  <c r="G21" i="9"/>
  <c r="H21" i="9" s="1"/>
  <c r="G22" i="9"/>
  <c r="G23" i="9"/>
  <c r="H23" i="9" s="1"/>
  <c r="E7" i="9"/>
  <c r="D22" i="1" l="1"/>
  <c r="C10" i="15"/>
  <c r="D16" i="2" l="1"/>
  <c r="C63" i="20"/>
  <c r="C64" i="20"/>
  <c r="C65" i="20"/>
  <c r="C62" i="20"/>
  <c r="D62" i="20"/>
  <c r="D63" i="20"/>
  <c r="D64" i="20"/>
  <c r="D65" i="20"/>
  <c r="B63" i="20"/>
  <c r="B64" i="20"/>
  <c r="B65" i="20"/>
  <c r="B62" i="20"/>
  <c r="B59" i="20"/>
  <c r="D55" i="20"/>
  <c r="D54" i="20"/>
  <c r="D53" i="20"/>
  <c r="B55" i="20"/>
  <c r="B54" i="20"/>
  <c r="B53" i="20"/>
  <c r="B50" i="20" l="1"/>
  <c r="B49" i="20"/>
  <c r="B48" i="20"/>
  <c r="B47" i="20"/>
  <c r="B46" i="20"/>
  <c r="O23" i="20" l="1"/>
  <c r="O22" i="20"/>
  <c r="O19" i="20"/>
  <c r="O10" i="20"/>
  <c r="E31" i="20"/>
  <c r="F31" i="20"/>
  <c r="E32" i="20"/>
  <c r="F32" i="20"/>
  <c r="E33" i="20"/>
  <c r="F33" i="20"/>
  <c r="E34" i="20"/>
  <c r="F34" i="20"/>
  <c r="E35" i="20"/>
  <c r="F35" i="20"/>
  <c r="E36" i="20"/>
  <c r="F36" i="20"/>
  <c r="E37" i="20"/>
  <c r="F37" i="20"/>
  <c r="F30" i="20"/>
  <c r="E30" i="20"/>
  <c r="D31" i="20"/>
  <c r="D32" i="20"/>
  <c r="D33" i="20"/>
  <c r="D34" i="20"/>
  <c r="D30" i="20"/>
  <c r="C31" i="20"/>
  <c r="C32" i="20"/>
  <c r="C33" i="20"/>
  <c r="C34" i="20"/>
  <c r="B31" i="20"/>
  <c r="B32" i="20"/>
  <c r="B33" i="20"/>
  <c r="B34" i="20"/>
  <c r="B30" i="20"/>
  <c r="B24" i="20"/>
  <c r="C24" i="20"/>
  <c r="B25" i="20"/>
  <c r="C25" i="20"/>
  <c r="B26" i="20"/>
  <c r="C26" i="20"/>
  <c r="C23" i="20"/>
  <c r="B23" i="20"/>
  <c r="C3" i="20"/>
  <c r="C4" i="20"/>
  <c r="D4" i="20"/>
  <c r="C5" i="20"/>
  <c r="C7" i="20"/>
  <c r="C6" i="20"/>
  <c r="D6" i="20"/>
  <c r="B6" i="20"/>
  <c r="C12" i="20"/>
  <c r="C11" i="20"/>
  <c r="C10" i="20"/>
  <c r="C17" i="20"/>
  <c r="B17" i="20"/>
  <c r="C13" i="20"/>
  <c r="C20" i="20"/>
  <c r="D20" i="20"/>
  <c r="C19" i="20"/>
  <c r="D19" i="20"/>
  <c r="C18" i="20"/>
  <c r="D18" i="20"/>
  <c r="B15" i="20"/>
  <c r="C15" i="20"/>
  <c r="E15" i="20"/>
  <c r="B16" i="20"/>
  <c r="C16" i="20"/>
  <c r="E16" i="20"/>
  <c r="E14" i="20"/>
  <c r="C14" i="20"/>
  <c r="E13" i="20" l="1"/>
  <c r="B7" i="20"/>
  <c r="B5" i="20"/>
  <c r="B4" i="20"/>
  <c r="B3" i="20"/>
  <c r="B20" i="20"/>
  <c r="B19" i="20"/>
  <c r="B18" i="20"/>
  <c r="B14" i="20"/>
  <c r="D7" i="20"/>
  <c r="P22" i="9" l="1"/>
  <c r="G55" i="4"/>
  <c r="G54" i="4"/>
  <c r="G53" i="4"/>
  <c r="J30" i="7"/>
  <c r="G56" i="4"/>
  <c r="D43" i="6"/>
  <c r="D17" i="20" l="1"/>
  <c r="G51" i="4"/>
  <c r="G50" i="4"/>
  <c r="G61" i="4"/>
  <c r="O11" i="20" l="1"/>
  <c r="F12" i="7" l="1"/>
  <c r="F14" i="7"/>
  <c r="F16" i="7"/>
  <c r="O9" i="20"/>
  <c r="F11" i="7" l="1"/>
  <c r="O8" i="20"/>
  <c r="G60" i="4"/>
  <c r="E9" i="9"/>
  <c r="E8" i="9"/>
  <c r="F9" i="7" l="1"/>
  <c r="O6" i="20"/>
  <c r="O7" i="20"/>
  <c r="F10" i="7"/>
  <c r="D24" i="7"/>
  <c r="D8" i="7"/>
  <c r="J14" i="7"/>
  <c r="J33" i="7"/>
  <c r="S29" i="7" l="1"/>
  <c r="S31" i="7"/>
  <c r="O5" i="20"/>
  <c r="S52" i="7"/>
  <c r="S53" i="7"/>
  <c r="S50" i="7"/>
  <c r="F8" i="7"/>
  <c r="D42" i="7"/>
  <c r="F42" i="7" s="1"/>
  <c r="D27" i="1" s="1"/>
  <c r="S28" i="7"/>
  <c r="S26" i="7"/>
  <c r="S27" i="7"/>
  <c r="S30" i="7"/>
  <c r="O21" i="20"/>
  <c r="D21" i="6"/>
  <c r="G20" i="4" l="1"/>
  <c r="S32" i="7"/>
  <c r="G57" i="4"/>
  <c r="F7" i="7"/>
  <c r="F38" i="7" s="1"/>
  <c r="D7" i="1"/>
  <c r="E17" i="3"/>
  <c r="E19" i="3"/>
  <c r="E16" i="3"/>
  <c r="E18" i="3"/>
  <c r="G14" i="16"/>
  <c r="G13" i="16"/>
  <c r="G12" i="16"/>
  <c r="G11" i="16"/>
  <c r="B37" i="20" l="1"/>
  <c r="B25" i="9"/>
  <c r="B36" i="20" s="1"/>
  <c r="B24" i="9"/>
  <c r="B35" i="20" s="1"/>
  <c r="C12" i="9"/>
  <c r="I25" i="9" s="1"/>
  <c r="D36" i="20" s="1"/>
  <c r="B38" i="17" l="1"/>
  <c r="F30" i="6"/>
  <c r="B32" i="17" l="1"/>
  <c r="E22" i="3"/>
  <c r="D11" i="2" l="1"/>
  <c r="D13" i="9"/>
  <c r="H27" i="9" s="1"/>
  <c r="D30" i="1"/>
  <c r="P23" i="9"/>
  <c r="F31" i="6"/>
  <c r="F32" i="6" s="1"/>
  <c r="E12" i="3"/>
  <c r="E11" i="3"/>
  <c r="B28" i="17"/>
  <c r="B23" i="17"/>
  <c r="B17" i="17"/>
  <c r="B11" i="17"/>
  <c r="B5" i="17"/>
  <c r="D9" i="1"/>
  <c r="E10" i="15"/>
  <c r="D16" i="1" s="1"/>
  <c r="D10" i="15"/>
  <c r="D24" i="1" s="1"/>
  <c r="D23" i="6"/>
  <c r="L20" i="9"/>
  <c r="L23" i="9"/>
  <c r="J10" i="7"/>
  <c r="J12" i="7"/>
  <c r="J16" i="7"/>
  <c r="D17" i="7"/>
  <c r="AD12" i="7" s="1"/>
  <c r="J25" i="7"/>
  <c r="J26" i="7"/>
  <c r="J27" i="7"/>
  <c r="J28" i="7"/>
  <c r="J29" i="7"/>
  <c r="J31" i="7"/>
  <c r="J32" i="7"/>
  <c r="J37" i="7"/>
  <c r="J18" i="7"/>
  <c r="J19" i="7"/>
  <c r="J20" i="7"/>
  <c r="J22" i="7"/>
  <c r="J9" i="7"/>
  <c r="J11" i="7"/>
  <c r="J13" i="7"/>
  <c r="F11" i="16"/>
  <c r="H11" i="16" s="1"/>
  <c r="F12" i="16"/>
  <c r="H12" i="16" s="1"/>
  <c r="F14" i="16"/>
  <c r="H14" i="16" s="1"/>
  <c r="F15" i="16"/>
  <c r="D31" i="1"/>
  <c r="R7" i="7"/>
  <c r="D57" i="6"/>
  <c r="D58" i="6"/>
  <c r="D60" i="6"/>
  <c r="D19" i="6"/>
  <c r="D24" i="6" s="1"/>
  <c r="E35" i="6" s="1"/>
  <c r="B6" i="9"/>
  <c r="D20" i="13"/>
  <c r="E20" i="13"/>
  <c r="F20" i="13"/>
  <c r="G20" i="13"/>
  <c r="C20" i="13"/>
  <c r="F17" i="13"/>
  <c r="G16" i="13"/>
  <c r="F16" i="13"/>
  <c r="F21" i="13" s="1"/>
  <c r="D16" i="13"/>
  <c r="D18" i="13" s="1"/>
  <c r="D18" i="2"/>
  <c r="C27" i="3"/>
  <c r="D27" i="3"/>
  <c r="C28" i="3"/>
  <c r="D28" i="3"/>
  <c r="D25" i="3"/>
  <c r="C25" i="3"/>
  <c r="C5" i="1"/>
  <c r="B45" i="20" s="1"/>
  <c r="C13" i="9"/>
  <c r="C11" i="9"/>
  <c r="I24" i="9" s="1"/>
  <c r="D35" i="20" s="1"/>
  <c r="B7" i="9"/>
  <c r="C7" i="9"/>
  <c r="B8" i="9"/>
  <c r="C8" i="9"/>
  <c r="B9" i="9"/>
  <c r="C9" i="9"/>
  <c r="C6" i="9"/>
  <c r="E16" i="16"/>
  <c r="C6" i="16" s="1"/>
  <c r="D16" i="16"/>
  <c r="C5" i="16" s="1"/>
  <c r="F8" i="15"/>
  <c r="F6" i="15"/>
  <c r="F7" i="15"/>
  <c r="F5" i="15"/>
  <c r="D22" i="13"/>
  <c r="I22" i="13" s="1"/>
  <c r="D59" i="20" s="1"/>
  <c r="D17" i="13"/>
  <c r="I17" i="13" s="1"/>
  <c r="D58" i="20" s="1"/>
  <c r="D8" i="13"/>
  <c r="G62" i="4"/>
  <c r="S51" i="7"/>
  <c r="H23" i="18" l="1"/>
  <c r="L23" i="18"/>
  <c r="P23" i="18"/>
  <c r="T23" i="18"/>
  <c r="X23" i="18"/>
  <c r="AB23" i="18"/>
  <c r="AF23" i="18"/>
  <c r="E23" i="18"/>
  <c r="I23" i="18"/>
  <c r="M23" i="18"/>
  <c r="Q23" i="18"/>
  <c r="U23" i="18"/>
  <c r="Y23" i="18"/>
  <c r="AC23" i="18"/>
  <c r="AG23" i="18"/>
  <c r="F23" i="18"/>
  <c r="J23" i="18"/>
  <c r="N23" i="18"/>
  <c r="R23" i="18"/>
  <c r="V23" i="18"/>
  <c r="Z23" i="18"/>
  <c r="AD23" i="18"/>
  <c r="AH23" i="18"/>
  <c r="G23" i="18"/>
  <c r="K23" i="18"/>
  <c r="O23" i="18"/>
  <c r="S23" i="18"/>
  <c r="W23" i="18"/>
  <c r="AA23" i="18"/>
  <c r="AE23" i="18"/>
  <c r="D23" i="18"/>
  <c r="G21" i="13"/>
  <c r="G23" i="13" s="1"/>
  <c r="G18" i="13"/>
  <c r="L37" i="18"/>
  <c r="AC37" i="18"/>
  <c r="D37" i="18"/>
  <c r="Z37" i="18"/>
  <c r="AH37" i="18"/>
  <c r="M37" i="18"/>
  <c r="N37" i="18"/>
  <c r="K37" i="18"/>
  <c r="O37" i="18"/>
  <c r="S37" i="18"/>
  <c r="W37" i="18"/>
  <c r="AA37" i="18"/>
  <c r="AE37" i="18"/>
  <c r="F37" i="18"/>
  <c r="J37" i="18"/>
  <c r="P37" i="18"/>
  <c r="T37" i="18"/>
  <c r="X37" i="18"/>
  <c r="AB37" i="18"/>
  <c r="AF37" i="18"/>
  <c r="G37" i="18"/>
  <c r="E37" i="18"/>
  <c r="Q37" i="18"/>
  <c r="U37" i="18"/>
  <c r="Y37" i="18"/>
  <c r="AG37" i="18"/>
  <c r="H37" i="18"/>
  <c r="R37" i="18"/>
  <c r="V37" i="18"/>
  <c r="AD37" i="18"/>
  <c r="I37" i="18"/>
  <c r="D25" i="6"/>
  <c r="D29" i="6" s="1"/>
  <c r="D13" i="20" s="1"/>
  <c r="E23" i="6"/>
  <c r="E18" i="20"/>
  <c r="I27" i="9"/>
  <c r="D37" i="20" s="1"/>
  <c r="I26" i="9"/>
  <c r="D27" i="18"/>
  <c r="E27" i="18" s="1"/>
  <c r="O14" i="20"/>
  <c r="E27" i="3"/>
  <c r="D25" i="20"/>
  <c r="H22" i="13"/>
  <c r="B14" i="15"/>
  <c r="E26" i="3"/>
  <c r="D24" i="20"/>
  <c r="C37" i="20"/>
  <c r="E22" i="13"/>
  <c r="F22" i="13" s="1"/>
  <c r="G22" i="13" s="1"/>
  <c r="E25" i="3"/>
  <c r="D23" i="20"/>
  <c r="E28" i="3"/>
  <c r="D26" i="20"/>
  <c r="D15" i="2"/>
  <c r="D5" i="20"/>
  <c r="H17" i="13"/>
  <c r="F18" i="13"/>
  <c r="D10" i="2"/>
  <c r="AD10" i="7"/>
  <c r="D7" i="7"/>
  <c r="D41" i="7" s="1"/>
  <c r="F10" i="15"/>
  <c r="J17" i="7"/>
  <c r="D17" i="1" s="1"/>
  <c r="J24" i="7"/>
  <c r="D25" i="1" s="1"/>
  <c r="J8" i="7"/>
  <c r="S48" i="7"/>
  <c r="E41" i="6"/>
  <c r="E20" i="20" s="1"/>
  <c r="E38" i="6"/>
  <c r="E13" i="3"/>
  <c r="G42" i="4"/>
  <c r="E20" i="3"/>
  <c r="E21" i="3"/>
  <c r="O38" i="20"/>
  <c r="D21" i="13"/>
  <c r="D23" i="13" s="1"/>
  <c r="F23" i="13"/>
  <c r="AD9" i="7"/>
  <c r="AD11" i="7"/>
  <c r="S49" i="7"/>
  <c r="G59" i="4"/>
  <c r="E43" i="6" l="1"/>
  <c r="E17" i="20" s="1"/>
  <c r="D26" i="18"/>
  <c r="AI26" i="18" s="1"/>
  <c r="D40" i="7"/>
  <c r="D14" i="2"/>
  <c r="D38" i="18"/>
  <c r="H38" i="18"/>
  <c r="H42" i="18" s="1"/>
  <c r="L38" i="18"/>
  <c r="L42" i="18" s="1"/>
  <c r="P38" i="18"/>
  <c r="P42" i="18" s="1"/>
  <c r="T38" i="18"/>
  <c r="T42" i="18" s="1"/>
  <c r="X38" i="18"/>
  <c r="X42" i="18" s="1"/>
  <c r="AB38" i="18"/>
  <c r="AB42" i="18" s="1"/>
  <c r="AF38" i="18"/>
  <c r="AF42" i="18" s="1"/>
  <c r="F38" i="18"/>
  <c r="F42" i="18" s="1"/>
  <c r="J38" i="18"/>
  <c r="J42" i="18" s="1"/>
  <c r="R38" i="18"/>
  <c r="R42" i="18" s="1"/>
  <c r="Z38" i="18"/>
  <c r="Z42" i="18" s="1"/>
  <c r="AH38" i="18"/>
  <c r="AH42" i="18" s="1"/>
  <c r="G38" i="18"/>
  <c r="G42" i="18" s="1"/>
  <c r="K38" i="18"/>
  <c r="K42" i="18" s="1"/>
  <c r="S38" i="18"/>
  <c r="S42" i="18" s="1"/>
  <c r="AA38" i="18"/>
  <c r="AA42" i="18" s="1"/>
  <c r="AE38" i="18"/>
  <c r="AE42" i="18" s="1"/>
  <c r="E38" i="18"/>
  <c r="E42" i="18" s="1"/>
  <c r="I38" i="18"/>
  <c r="I42" i="18" s="1"/>
  <c r="M38" i="18"/>
  <c r="M42" i="18" s="1"/>
  <c r="Q38" i="18"/>
  <c r="Q42" i="18" s="1"/>
  <c r="U38" i="18"/>
  <c r="U42" i="18" s="1"/>
  <c r="Y38" i="18"/>
  <c r="Y42" i="18" s="1"/>
  <c r="AC38" i="18"/>
  <c r="AC42" i="18" s="1"/>
  <c r="AG38" i="18"/>
  <c r="AG42" i="18" s="1"/>
  <c r="N38" i="18"/>
  <c r="N42" i="18" s="1"/>
  <c r="V38" i="18"/>
  <c r="V42" i="18" s="1"/>
  <c r="AD38" i="18"/>
  <c r="AD42" i="18" s="1"/>
  <c r="O38" i="18"/>
  <c r="O42" i="18" s="1"/>
  <c r="W38" i="18"/>
  <c r="W42" i="18" s="1"/>
  <c r="AI37" i="18"/>
  <c r="G16" i="18"/>
  <c r="G15" i="18" s="1"/>
  <c r="K16" i="18"/>
  <c r="K15" i="18" s="1"/>
  <c r="O16" i="18"/>
  <c r="O15" i="18" s="1"/>
  <c r="W16" i="18"/>
  <c r="W15" i="18" s="1"/>
  <c r="AA16" i="18"/>
  <c r="AA15" i="18" s="1"/>
  <c r="D16" i="18"/>
  <c r="L16" i="18"/>
  <c r="L15" i="18" s="1"/>
  <c r="T16" i="18"/>
  <c r="T15" i="18" s="1"/>
  <c r="X16" i="18"/>
  <c r="X15" i="18" s="1"/>
  <c r="AF16" i="18"/>
  <c r="AF15" i="18" s="1"/>
  <c r="I16" i="18"/>
  <c r="I15" i="18" s="1"/>
  <c r="M16" i="18"/>
  <c r="M15" i="18" s="1"/>
  <c r="U16" i="18"/>
  <c r="U15" i="18" s="1"/>
  <c r="AC16" i="18"/>
  <c r="AC15" i="18" s="1"/>
  <c r="AG16" i="18"/>
  <c r="AG15" i="18" s="1"/>
  <c r="F16" i="18"/>
  <c r="F15" i="18" s="1"/>
  <c r="J16" i="18"/>
  <c r="J15" i="18" s="1"/>
  <c r="N16" i="18"/>
  <c r="N15" i="18" s="1"/>
  <c r="R16" i="18"/>
  <c r="R15" i="18" s="1"/>
  <c r="V16" i="18"/>
  <c r="V15" i="18" s="1"/>
  <c r="Z16" i="18"/>
  <c r="Z15" i="18" s="1"/>
  <c r="AD16" i="18"/>
  <c r="AD15" i="18" s="1"/>
  <c r="AH16" i="18"/>
  <c r="AH15" i="18" s="1"/>
  <c r="S16" i="18"/>
  <c r="S15" i="18" s="1"/>
  <c r="AE16" i="18"/>
  <c r="AE15" i="18" s="1"/>
  <c r="H16" i="18"/>
  <c r="H15" i="18" s="1"/>
  <c r="P16" i="18"/>
  <c r="P15" i="18" s="1"/>
  <c r="AB16" i="18"/>
  <c r="AB15" i="18" s="1"/>
  <c r="E16" i="18"/>
  <c r="E15" i="18" s="1"/>
  <c r="Q16" i="18"/>
  <c r="Q15" i="18" s="1"/>
  <c r="Y16" i="18"/>
  <c r="Y15" i="18" s="1"/>
  <c r="F27" i="18"/>
  <c r="E24" i="18"/>
  <c r="F14" i="18"/>
  <c r="J14" i="18"/>
  <c r="N14" i="18"/>
  <c r="R14" i="18"/>
  <c r="V14" i="18"/>
  <c r="Z14" i="18"/>
  <c r="AD14" i="18"/>
  <c r="AH14" i="18"/>
  <c r="G14" i="18"/>
  <c r="K14" i="18"/>
  <c r="O14" i="18"/>
  <c r="W14" i="18"/>
  <c r="AE14" i="18"/>
  <c r="H14" i="18"/>
  <c r="L14" i="18"/>
  <c r="T14" i="18"/>
  <c r="AB14" i="18"/>
  <c r="AF14" i="18"/>
  <c r="E14" i="18"/>
  <c r="I14" i="18"/>
  <c r="M14" i="18"/>
  <c r="Q14" i="18"/>
  <c r="U14" i="18"/>
  <c r="Y14" i="18"/>
  <c r="AC14" i="18"/>
  <c r="AG14" i="18"/>
  <c r="S14" i="18"/>
  <c r="AA14" i="18"/>
  <c r="D14" i="18"/>
  <c r="P14" i="18"/>
  <c r="X14" i="18"/>
  <c r="D22" i="18"/>
  <c r="AI40" i="18"/>
  <c r="F41" i="7"/>
  <c r="F40" i="7" s="1"/>
  <c r="E19" i="20"/>
  <c r="L27" i="9"/>
  <c r="D38" i="7"/>
  <c r="O4" i="20"/>
  <c r="J7" i="7"/>
  <c r="AD13" i="7"/>
  <c r="S54" i="7"/>
  <c r="D32" i="6"/>
  <c r="E6" i="3"/>
  <c r="D45" i="7" l="1"/>
  <c r="G46" i="4" s="1"/>
  <c r="D24" i="18"/>
  <c r="AI38" i="18"/>
  <c r="N6" i="7"/>
  <c r="O11" i="7" s="1"/>
  <c r="D9" i="18"/>
  <c r="AI9" i="18" s="1"/>
  <c r="E22" i="18"/>
  <c r="F24" i="18"/>
  <c r="G27" i="18"/>
  <c r="AI14" i="18"/>
  <c r="D15" i="18"/>
  <c r="AI15" i="18" s="1"/>
  <c r="AI16" i="18"/>
  <c r="D20" i="1"/>
  <c r="J38" i="7"/>
  <c r="D10" i="1"/>
  <c r="D9" i="9"/>
  <c r="D16" i="20"/>
  <c r="O35" i="20"/>
  <c r="O37" i="20"/>
  <c r="O39" i="20" s="1"/>
  <c r="D20" i="2"/>
  <c r="C26" i="2" s="1"/>
  <c r="D30" i="6"/>
  <c r="D31" i="6"/>
  <c r="E16" i="13"/>
  <c r="E18" i="13" s="1"/>
  <c r="E5" i="3"/>
  <c r="E10" i="3"/>
  <c r="D6" i="9"/>
  <c r="D14" i="20" l="1"/>
  <c r="D7" i="9"/>
  <c r="P11" i="7"/>
  <c r="H15" i="7" s="1"/>
  <c r="F22" i="18"/>
  <c r="D12" i="18"/>
  <c r="H12" i="18"/>
  <c r="H10" i="18" s="1"/>
  <c r="L12" i="18"/>
  <c r="L10" i="18" s="1"/>
  <c r="P12" i="18"/>
  <c r="P10" i="18" s="1"/>
  <c r="T12" i="18"/>
  <c r="T10" i="18" s="1"/>
  <c r="X12" i="18"/>
  <c r="X10" i="18" s="1"/>
  <c r="AB12" i="18"/>
  <c r="AB10" i="18" s="1"/>
  <c r="AF12" i="18"/>
  <c r="AF10" i="18" s="1"/>
  <c r="E12" i="18"/>
  <c r="E10" i="18" s="1"/>
  <c r="M12" i="18"/>
  <c r="M10" i="18" s="1"/>
  <c r="U12" i="18"/>
  <c r="U10" i="18" s="1"/>
  <c r="AC12" i="18"/>
  <c r="AC10" i="18" s="1"/>
  <c r="AG12" i="18"/>
  <c r="AG10" i="18" s="1"/>
  <c r="AH12" i="18"/>
  <c r="AH10" i="18" s="1"/>
  <c r="G12" i="18"/>
  <c r="G10" i="18" s="1"/>
  <c r="K12" i="18"/>
  <c r="K10" i="18" s="1"/>
  <c r="O12" i="18"/>
  <c r="O10" i="18" s="1"/>
  <c r="S12" i="18"/>
  <c r="S10" i="18" s="1"/>
  <c r="W12" i="18"/>
  <c r="W10" i="18" s="1"/>
  <c r="AA12" i="18"/>
  <c r="AA10" i="18" s="1"/>
  <c r="AE12" i="18"/>
  <c r="AE10" i="18" s="1"/>
  <c r="I12" i="18"/>
  <c r="I10" i="18" s="1"/>
  <c r="Q12" i="18"/>
  <c r="Q10" i="18" s="1"/>
  <c r="Y12" i="18"/>
  <c r="Y10" i="18" s="1"/>
  <c r="F12" i="18"/>
  <c r="F10" i="18" s="1"/>
  <c r="J12" i="18"/>
  <c r="J10" i="18" s="1"/>
  <c r="N12" i="18"/>
  <c r="N10" i="18" s="1"/>
  <c r="R12" i="18"/>
  <c r="R10" i="18" s="1"/>
  <c r="V12" i="18"/>
  <c r="V10" i="18" s="1"/>
  <c r="Z12" i="18"/>
  <c r="Z10" i="18" s="1"/>
  <c r="AD12" i="18"/>
  <c r="AD10" i="18" s="1"/>
  <c r="H27" i="18"/>
  <c r="G24" i="18"/>
  <c r="O40" i="20"/>
  <c r="F13" i="16"/>
  <c r="C16" i="16"/>
  <c r="C19" i="16" s="1"/>
  <c r="G40" i="4"/>
  <c r="N7" i="7"/>
  <c r="O16" i="7" s="1"/>
  <c r="D8" i="9"/>
  <c r="D15" i="20"/>
  <c r="C29" i="2"/>
  <c r="C27" i="2"/>
  <c r="C28" i="2"/>
  <c r="D52" i="6"/>
  <c r="E21" i="13"/>
  <c r="E23" i="13" s="1"/>
  <c r="L21" i="9"/>
  <c r="G19" i="9" l="1"/>
  <c r="F16" i="16"/>
  <c r="D41" i="18" s="1"/>
  <c r="D42" i="18" s="1"/>
  <c r="H13" i="16"/>
  <c r="G41" i="4" s="1"/>
  <c r="H32" i="7"/>
  <c r="H34" i="7"/>
  <c r="H21" i="7"/>
  <c r="H14" i="7"/>
  <c r="H37" i="7"/>
  <c r="H20" i="7"/>
  <c r="H26" i="7"/>
  <c r="H16" i="7"/>
  <c r="H22" i="7"/>
  <c r="H35" i="7"/>
  <c r="H9" i="7"/>
  <c r="H36" i="7"/>
  <c r="H19" i="7"/>
  <c r="H29" i="7"/>
  <c r="H10" i="7"/>
  <c r="H31" i="7"/>
  <c r="H18" i="7"/>
  <c r="H33" i="7"/>
  <c r="H13" i="7"/>
  <c r="H11" i="7"/>
  <c r="H28" i="7"/>
  <c r="H25" i="7"/>
  <c r="H12" i="7"/>
  <c r="H30" i="7"/>
  <c r="H27" i="7"/>
  <c r="AI12" i="18"/>
  <c r="D10" i="18"/>
  <c r="AI10" i="18" s="1"/>
  <c r="I27" i="18"/>
  <c r="H24" i="18"/>
  <c r="G22" i="18"/>
  <c r="P16" i="7"/>
  <c r="G15" i="7" s="1"/>
  <c r="C21" i="16"/>
  <c r="C23" i="16"/>
  <c r="C20" i="16"/>
  <c r="C22" i="16"/>
  <c r="C4" i="16"/>
  <c r="C7" i="16" s="1"/>
  <c r="D29" i="1"/>
  <c r="C48" i="20" s="1"/>
  <c r="D54" i="6"/>
  <c r="D12" i="9"/>
  <c r="H25" i="9" s="1"/>
  <c r="H19" i="9" l="1"/>
  <c r="C16" i="13"/>
  <c r="C21" i="13" s="1"/>
  <c r="C23" i="13" s="1"/>
  <c r="AI41" i="18"/>
  <c r="AI42" i="18" s="1"/>
  <c r="H16" i="16"/>
  <c r="D39" i="1" s="1"/>
  <c r="H17" i="7"/>
  <c r="H8" i="7"/>
  <c r="G34" i="7"/>
  <c r="G21" i="7"/>
  <c r="G35" i="7"/>
  <c r="G9" i="7"/>
  <c r="G15" i="4" s="1"/>
  <c r="G36" i="7"/>
  <c r="H24" i="7"/>
  <c r="H22" i="18"/>
  <c r="J27" i="18"/>
  <c r="I24" i="18"/>
  <c r="G28" i="7"/>
  <c r="G19" i="7"/>
  <c r="G27" i="7"/>
  <c r="G14" i="7"/>
  <c r="G10" i="7"/>
  <c r="G25" i="7"/>
  <c r="G30" i="7"/>
  <c r="G31" i="7"/>
  <c r="G37" i="7"/>
  <c r="G16" i="7"/>
  <c r="G13" i="7"/>
  <c r="G14" i="4" s="1"/>
  <c r="G22" i="7"/>
  <c r="G26" i="7"/>
  <c r="G33" i="7"/>
  <c r="G32" i="7"/>
  <c r="G12" i="7"/>
  <c r="G18" i="7"/>
  <c r="G29" i="7"/>
  <c r="G20" i="7"/>
  <c r="G11" i="7"/>
  <c r="C24" i="16"/>
  <c r="C30" i="20"/>
  <c r="L25" i="9"/>
  <c r="C36" i="20"/>
  <c r="D11" i="9"/>
  <c r="C18" i="13" l="1"/>
  <c r="H24" i="9"/>
  <c r="C35" i="20" s="1"/>
  <c r="H7" i="7"/>
  <c r="H38" i="7" s="1"/>
  <c r="G17" i="7"/>
  <c r="D15" i="1" s="1"/>
  <c r="D13" i="1" s="1"/>
  <c r="G24" i="7"/>
  <c r="K27" i="18"/>
  <c r="J24" i="18"/>
  <c r="I22" i="18"/>
  <c r="G8" i="7"/>
  <c r="L24" i="9"/>
  <c r="L28" i="9" s="1"/>
  <c r="H16" i="13"/>
  <c r="H18" i="13" s="1"/>
  <c r="I18" i="13" s="1"/>
  <c r="V21" i="18" l="1"/>
  <c r="Q21" i="18"/>
  <c r="AD21" i="18"/>
  <c r="X21" i="18"/>
  <c r="R21" i="18"/>
  <c r="E21" i="18"/>
  <c r="N21" i="18"/>
  <c r="S21" i="18"/>
  <c r="U21" i="18"/>
  <c r="AB21" i="18"/>
  <c r="L21" i="18"/>
  <c r="W21" i="18"/>
  <c r="G21" i="18"/>
  <c r="I21" i="18"/>
  <c r="H21" i="18"/>
  <c r="AG21" i="18"/>
  <c r="M21" i="18"/>
  <c r="T21" i="18"/>
  <c r="AE21" i="18"/>
  <c r="O21" i="18"/>
  <c r="F21" i="18"/>
  <c r="J21" i="18"/>
  <c r="AH21" i="18"/>
  <c r="AC21" i="18"/>
  <c r="AF21" i="18"/>
  <c r="P21" i="18"/>
  <c r="AA21" i="18"/>
  <c r="K21" i="18"/>
  <c r="Z21" i="18"/>
  <c r="Y21" i="18"/>
  <c r="G7" i="7"/>
  <c r="G38" i="7" s="1"/>
  <c r="G28" i="4" s="1"/>
  <c r="D23" i="1"/>
  <c r="D21" i="1" s="1"/>
  <c r="H41" i="1" s="1"/>
  <c r="G26" i="4"/>
  <c r="D8" i="1"/>
  <c r="D6" i="1" s="1"/>
  <c r="G13" i="4" s="1"/>
  <c r="L27" i="18"/>
  <c r="K24" i="18"/>
  <c r="J22" i="18"/>
  <c r="G25" i="4"/>
  <c r="H21" i="13"/>
  <c r="H23" i="13" s="1"/>
  <c r="C58" i="20"/>
  <c r="I16" i="13"/>
  <c r="D33" i="1"/>
  <c r="G31" i="4"/>
  <c r="H38" i="1" l="1"/>
  <c r="H42" i="1"/>
  <c r="H39" i="1"/>
  <c r="C46" i="20"/>
  <c r="H40" i="1"/>
  <c r="D5" i="1"/>
  <c r="C45" i="20" s="1"/>
  <c r="D21" i="18"/>
  <c r="H22" i="1"/>
  <c r="H25" i="1"/>
  <c r="H24" i="1"/>
  <c r="H21" i="1"/>
  <c r="H23" i="1"/>
  <c r="K22" i="18"/>
  <c r="M27" i="18"/>
  <c r="L24" i="18"/>
  <c r="E17" i="18"/>
  <c r="E31" i="18" s="1"/>
  <c r="I17" i="18"/>
  <c r="I31" i="18" s="1"/>
  <c r="M17" i="18"/>
  <c r="Q17" i="18"/>
  <c r="U17" i="18"/>
  <c r="Y17" i="18"/>
  <c r="AC17" i="18"/>
  <c r="AG17" i="18"/>
  <c r="F17" i="18"/>
  <c r="F31" i="18" s="1"/>
  <c r="J17" i="18"/>
  <c r="J31" i="18" s="1"/>
  <c r="N17" i="18"/>
  <c r="R17" i="18"/>
  <c r="V17" i="18"/>
  <c r="Z17" i="18"/>
  <c r="AD17" i="18"/>
  <c r="AH17" i="18"/>
  <c r="G17" i="18"/>
  <c r="G31" i="18" s="1"/>
  <c r="K17" i="18"/>
  <c r="O17" i="18"/>
  <c r="S17" i="18"/>
  <c r="W17" i="18"/>
  <c r="AA17" i="18"/>
  <c r="AE17" i="18"/>
  <c r="H17" i="18"/>
  <c r="H31" i="18" s="1"/>
  <c r="L17" i="18"/>
  <c r="P17" i="18"/>
  <c r="T17" i="18"/>
  <c r="X17" i="18"/>
  <c r="AB17" i="18"/>
  <c r="AF17" i="18"/>
  <c r="C47" i="20"/>
  <c r="I23" i="13"/>
  <c r="C59" i="20" s="1"/>
  <c r="I21" i="13"/>
  <c r="D4" i="1" l="1"/>
  <c r="K31" i="18"/>
  <c r="K52" i="18" s="1"/>
  <c r="K53" i="18" s="1"/>
  <c r="N27" i="18"/>
  <c r="M24" i="18"/>
  <c r="L22" i="18"/>
  <c r="L31" i="18" s="1"/>
  <c r="AI21" i="18"/>
  <c r="D17" i="18"/>
  <c r="J45" i="18"/>
  <c r="J46" i="18" s="1"/>
  <c r="J52" i="18"/>
  <c r="J53" i="18" s="1"/>
  <c r="I45" i="18"/>
  <c r="I46" i="18" s="1"/>
  <c r="I52" i="18"/>
  <c r="I53" i="18" s="1"/>
  <c r="H52" i="18"/>
  <c r="H53" i="18" s="1"/>
  <c r="H45" i="18"/>
  <c r="H46" i="18" s="1"/>
  <c r="G52" i="18"/>
  <c r="G53" i="18" s="1"/>
  <c r="G45" i="18"/>
  <c r="G46" i="18" s="1"/>
  <c r="F45" i="18"/>
  <c r="F46" i="18" s="1"/>
  <c r="F52" i="18"/>
  <c r="F53" i="18" s="1"/>
  <c r="E45" i="18"/>
  <c r="E46" i="18" s="1"/>
  <c r="E52" i="18"/>
  <c r="E53" i="18" s="1"/>
  <c r="D35" i="1" l="1"/>
  <c r="D37" i="1" s="1"/>
  <c r="L52" i="18"/>
  <c r="L53" i="18" s="1"/>
  <c r="L45" i="18"/>
  <c r="L46" i="18" s="1"/>
  <c r="K45" i="18"/>
  <c r="K46" i="18" s="1"/>
  <c r="O27" i="18"/>
  <c r="N24" i="18"/>
  <c r="M22" i="18"/>
  <c r="M31" i="18" s="1"/>
  <c r="AI17" i="18"/>
  <c r="D31" i="18"/>
  <c r="D41" i="1" l="1"/>
  <c r="G12" i="4" s="1"/>
  <c r="H8" i="1"/>
  <c r="C6" i="4" s="1"/>
  <c r="G34" i="4"/>
  <c r="G32" i="4"/>
  <c r="H7" i="1"/>
  <c r="G35" i="4"/>
  <c r="H6" i="1"/>
  <c r="G37" i="4"/>
  <c r="H5" i="1"/>
  <c r="G27" i="4"/>
  <c r="P27" i="18"/>
  <c r="O24" i="18"/>
  <c r="M45" i="18"/>
  <c r="M46" i="18" s="1"/>
  <c r="M52" i="18"/>
  <c r="M53" i="18" s="1"/>
  <c r="N22" i="18"/>
  <c r="N31" i="18" s="1"/>
  <c r="D52" i="18"/>
  <c r="D45" i="18"/>
  <c r="D46" i="18" s="1"/>
  <c r="G11" i="4"/>
  <c r="C49" i="20"/>
  <c r="C50" i="20" l="1"/>
  <c r="C4" i="4"/>
  <c r="H9" i="1"/>
  <c r="C5" i="4"/>
  <c r="O22" i="18"/>
  <c r="O31" i="18" s="1"/>
  <c r="Q27" i="18"/>
  <c r="P24" i="18"/>
  <c r="N45" i="18"/>
  <c r="N46" i="18" s="1"/>
  <c r="N52" i="18"/>
  <c r="N53" i="18" s="1"/>
  <c r="D53" i="18"/>
  <c r="P22" i="18" l="1"/>
  <c r="P31" i="18" s="1"/>
  <c r="R27" i="18"/>
  <c r="Q24" i="18"/>
  <c r="O52" i="18"/>
  <c r="O45" i="18"/>
  <c r="O46" i="18" s="1"/>
  <c r="D54" i="18"/>
  <c r="E54" i="18" s="1"/>
  <c r="F54" i="18" s="1"/>
  <c r="G54" i="18" s="1"/>
  <c r="H54" i="18" s="1"/>
  <c r="I54" i="18" s="1"/>
  <c r="J54" i="18" s="1"/>
  <c r="K54" i="18" s="1"/>
  <c r="L54" i="18" s="1"/>
  <c r="M54" i="18" s="1"/>
  <c r="N54" i="18" s="1"/>
  <c r="D47" i="18"/>
  <c r="E47" i="18" s="1"/>
  <c r="F47" i="18" s="1"/>
  <c r="G47" i="18" s="1"/>
  <c r="H47" i="18" s="1"/>
  <c r="I47" i="18" s="1"/>
  <c r="J47" i="18" s="1"/>
  <c r="K47" i="18" s="1"/>
  <c r="L47" i="18" s="1"/>
  <c r="M47" i="18" s="1"/>
  <c r="N47" i="18" s="1"/>
  <c r="P52" i="18" l="1"/>
  <c r="P53" i="18" s="1"/>
  <c r="P45" i="18"/>
  <c r="P46" i="18" s="1"/>
  <c r="O47" i="18"/>
  <c r="S27" i="18"/>
  <c r="R24" i="18"/>
  <c r="O53" i="18"/>
  <c r="Q22" i="18"/>
  <c r="Q31" i="18" s="1"/>
  <c r="R22" i="18" l="1"/>
  <c r="R31" i="18" s="1"/>
  <c r="T27" i="18"/>
  <c r="S24" i="18"/>
  <c r="O54" i="18"/>
  <c r="P54" i="18" s="1"/>
  <c r="Q45" i="18"/>
  <c r="Q46" i="18" s="1"/>
  <c r="Q52" i="18"/>
  <c r="P47" i="18"/>
  <c r="Q47" i="18" l="1"/>
  <c r="U27" i="18"/>
  <c r="T24" i="18"/>
  <c r="Q53" i="18"/>
  <c r="S22" i="18"/>
  <c r="S31" i="18" s="1"/>
  <c r="R52" i="18"/>
  <c r="R53" i="18" s="1"/>
  <c r="R45" i="18"/>
  <c r="R46" i="18" s="1"/>
  <c r="T22" i="18" l="1"/>
  <c r="T31" i="18" s="1"/>
  <c r="S45" i="18"/>
  <c r="S46" i="18" s="1"/>
  <c r="S52" i="18"/>
  <c r="V27" i="18"/>
  <c r="U24" i="18"/>
  <c r="Q54" i="18"/>
  <c r="R54" i="18" s="1"/>
  <c r="U22" i="18" l="1"/>
  <c r="U31" i="18" s="1"/>
  <c r="R47" i="18"/>
  <c r="S47" i="18" s="1"/>
  <c r="T52" i="18"/>
  <c r="T53" i="18" s="1"/>
  <c r="T45" i="18"/>
  <c r="T46" i="18" s="1"/>
  <c r="S53" i="18"/>
  <c r="W27" i="18"/>
  <c r="V24" i="18"/>
  <c r="X27" i="18" l="1"/>
  <c r="W24" i="18"/>
  <c r="S54" i="18"/>
  <c r="T54" i="18" s="1"/>
  <c r="V22" i="18"/>
  <c r="V31" i="18" s="1"/>
  <c r="U45" i="18"/>
  <c r="U46" i="18" s="1"/>
  <c r="U52" i="18"/>
  <c r="U53" i="18" l="1"/>
  <c r="U54" i="18" s="1"/>
  <c r="T47" i="18"/>
  <c r="U47" i="18" s="1"/>
  <c r="V52" i="18"/>
  <c r="V53" i="18" s="1"/>
  <c r="V45" i="18"/>
  <c r="V46" i="18" s="1"/>
  <c r="W22" i="18"/>
  <c r="W31" i="18" s="1"/>
  <c r="Y27" i="18"/>
  <c r="X24" i="18"/>
  <c r="V47" i="18" l="1"/>
  <c r="V54" i="18"/>
  <c r="X22" i="18"/>
  <c r="X31" i="18" s="1"/>
  <c r="Z27" i="18"/>
  <c r="Y24" i="18"/>
  <c r="W52" i="18"/>
  <c r="W45" i="18"/>
  <c r="W46" i="18" s="1"/>
  <c r="W47" i="18" l="1"/>
  <c r="AA27" i="18"/>
  <c r="Z24" i="18"/>
  <c r="W53" i="18"/>
  <c r="Y22" i="18"/>
  <c r="Y31" i="18" s="1"/>
  <c r="X52" i="18"/>
  <c r="X53" i="18" s="1"/>
  <c r="X45" i="18"/>
  <c r="X46" i="18" s="1"/>
  <c r="X47" i="18" l="1"/>
  <c r="Z22" i="18"/>
  <c r="Z31" i="18" s="1"/>
  <c r="AB27" i="18"/>
  <c r="AA24" i="18"/>
  <c r="W54" i="18"/>
  <c r="X54" i="18" s="1"/>
  <c r="Y45" i="18"/>
  <c r="Y46" i="18" s="1"/>
  <c r="Y52" i="18"/>
  <c r="Y53" i="18" s="1"/>
  <c r="Y47" i="18" l="1"/>
  <c r="Y54" i="18"/>
  <c r="AC27" i="18"/>
  <c r="AB24" i="18"/>
  <c r="AA22" i="18"/>
  <c r="AA31" i="18" s="1"/>
  <c r="Z45" i="18"/>
  <c r="Z46" i="18" s="1"/>
  <c r="Z52" i="18"/>
  <c r="Z53" i="18" s="1"/>
  <c r="Z47" i="18" l="1"/>
  <c r="AD27" i="18"/>
  <c r="AC24" i="18"/>
  <c r="AA52" i="18"/>
  <c r="AA53" i="18" s="1"/>
  <c r="AA45" i="18"/>
  <c r="AA46" i="18" s="1"/>
  <c r="Z54" i="18"/>
  <c r="AB22" i="18"/>
  <c r="AB31" i="18" s="1"/>
  <c r="AA47" i="18" l="1"/>
  <c r="AA54" i="18"/>
  <c r="AE27" i="18"/>
  <c r="AD24" i="18"/>
  <c r="AC22" i="18"/>
  <c r="AC31" i="18" s="1"/>
  <c r="AB52" i="18"/>
  <c r="AB53" i="18" s="1"/>
  <c r="AB45" i="18"/>
  <c r="AB46" i="18" s="1"/>
  <c r="AB47" i="18" l="1"/>
  <c r="AB54" i="18"/>
  <c r="AF27" i="18"/>
  <c r="AE24" i="18"/>
  <c r="AD22" i="18"/>
  <c r="AD31" i="18" s="1"/>
  <c r="AC52" i="18"/>
  <c r="AC53" i="18" s="1"/>
  <c r="AC45" i="18"/>
  <c r="AC46" i="18" s="1"/>
  <c r="AC47" i="18" l="1"/>
  <c r="AC54" i="18"/>
  <c r="AD45" i="18"/>
  <c r="AD46" i="18" s="1"/>
  <c r="AD52" i="18"/>
  <c r="AD53" i="18" s="1"/>
  <c r="AE22" i="18"/>
  <c r="AE31" i="18" s="1"/>
  <c r="AG27" i="18"/>
  <c r="AF24" i="18"/>
  <c r="AD47" i="18" l="1"/>
  <c r="AD54" i="18"/>
  <c r="AF22" i="18"/>
  <c r="AF31" i="18" s="1"/>
  <c r="AE45" i="18"/>
  <c r="AE52" i="18"/>
  <c r="AE53" i="18" s="1"/>
  <c r="AH27" i="18"/>
  <c r="AG24" i="18"/>
  <c r="AE54" i="18" l="1"/>
  <c r="AE46" i="18"/>
  <c r="AE47" i="18" s="1"/>
  <c r="AG22" i="18"/>
  <c r="AG31" i="18" s="1"/>
  <c r="AH24" i="18"/>
  <c r="AI24" i="18" s="1"/>
  <c r="AI27" i="18"/>
  <c r="AF45" i="18"/>
  <c r="AF52" i="18"/>
  <c r="AF53" i="18" s="1"/>
  <c r="AF54" i="18" l="1"/>
  <c r="AF46" i="18"/>
  <c r="AF47" i="18" s="1"/>
  <c r="AG45" i="18"/>
  <c r="AG52" i="18"/>
  <c r="AG53" i="18" s="1"/>
  <c r="AH22" i="18"/>
  <c r="AI23" i="18"/>
  <c r="AG54" i="18" l="1"/>
  <c r="AG46" i="18"/>
  <c r="AG47" i="18" s="1"/>
  <c r="AI22" i="18"/>
  <c r="AJ31" i="18" s="1"/>
  <c r="AH31" i="18"/>
  <c r="AI31" i="18" s="1"/>
  <c r="AH45" i="18" l="1"/>
  <c r="AH46" i="18" s="1"/>
  <c r="AH52" i="18"/>
  <c r="AH53" i="18" l="1"/>
  <c r="AI52" i="18"/>
  <c r="AI45" i="18"/>
  <c r="AI53" i="18" l="1"/>
  <c r="D55" i="18" s="1"/>
  <c r="D56" i="18"/>
  <c r="AH54" i="18"/>
  <c r="D49" i="18"/>
  <c r="AI46" i="18"/>
  <c r="D48" i="18" s="1"/>
  <c r="AH47" i="18"/>
  <c r="F45" i="7"/>
  <c r="I40" i="7"/>
  <c r="I45" i="7" s="1"/>
  <c r="H40" i="7"/>
  <c r="H45" i="7"/>
  <c r="J40" i="7"/>
  <c r="J45" i="7" s="1"/>
  <c r="G40" i="7"/>
  <c r="G45" i="7" s="1"/>
  <c r="S8" i="7" l="1"/>
  <c r="S7" i="7"/>
  <c r="S9" i="7"/>
  <c r="G48" i="4"/>
  <c r="C55" i="20" s="1"/>
  <c r="G47" i="4"/>
  <c r="C54" i="20" s="1"/>
  <c r="C53" i="20"/>
  <c r="S10" i="7" l="1"/>
</calcChain>
</file>

<file path=xl/comments1.xml><?xml version="1.0" encoding="utf-8"?>
<comments xmlns="http://schemas.openxmlformats.org/spreadsheetml/2006/main">
  <authors>
    <author>Marco Belliardi</author>
  </authors>
  <commentList>
    <comment ref="D8" authorId="0">
      <text>
        <r>
          <rPr>
            <sz val="9"/>
            <color indexed="81"/>
            <rFont val="Tahoma"/>
            <family val="2"/>
          </rPr>
          <t xml:space="preserve">Ad esempio: numero complessivo di appartamenti,  case plurifamiliari, case gemelle, ecc.
Più unità immobiliari possono  essere servite da una sola sottostazione.
</t>
        </r>
        <r>
          <rPr>
            <b/>
            <sz val="9"/>
            <color indexed="81"/>
            <rFont val="Tahoma"/>
            <family val="2"/>
          </rPr>
          <t>NOTA: dato indicativo non utilizzato per il calcolo delle utenze totali.
Il numero delle utenze totali è definito dalle celle D6 e D7</t>
        </r>
      </text>
    </comment>
    <comment ref="D11" authorId="0">
      <text>
        <r>
          <rPr>
            <sz val="9"/>
            <color indexed="81"/>
            <rFont val="Tahoma"/>
            <family val="2"/>
          </rPr>
          <t>La rete principale corrisponde alla dorsale senza le diramazioni a confine. 
Il valore da inserire corrisponde alla lunghezza dello scavo.</t>
        </r>
      </text>
    </comment>
    <comment ref="D12" authorId="0">
      <text>
        <r>
          <rPr>
            <sz val="9"/>
            <color indexed="81"/>
            <rFont val="Tahoma"/>
            <family val="2"/>
          </rPr>
          <t>La rete secondaria corrisponde ai tratti di rete necessari per le diramazioni a confine. 
Il valore da inserire corrisponde alla lunghezza dello scavo.</t>
        </r>
      </text>
    </comment>
    <comment ref="D13" authorId="0">
      <text>
        <r>
          <rPr>
            <sz val="9"/>
            <color indexed="81"/>
            <rFont val="Tahoma"/>
            <family val="2"/>
          </rPr>
          <t>Lunghezza complessiva della rete di teleriscaldamento (lunghezza dello scavo)</t>
        </r>
      </text>
    </comment>
    <comment ref="D16" authorId="0">
      <text>
        <r>
          <rPr>
            <sz val="9"/>
            <color indexed="81"/>
            <rFont val="Tahoma"/>
            <family val="2"/>
          </rPr>
          <t>Fabbiogno termico complessivo previsto per tutto il complesso servito dalla rete di teleriscaldamento. Energia che si vuole coprire e soddisfare con l'impianto, per l'intero parco di utenze teleriscaldabili.</t>
        </r>
      </text>
    </comment>
    <comment ref="D17" authorId="0">
      <text>
        <r>
          <rPr>
            <sz val="9"/>
            <color indexed="81"/>
            <rFont val="Tahoma"/>
            <family val="2"/>
          </rPr>
          <t xml:space="preserve">Fabbisogno di potenza termica complessiva di tutto il complesso servito dalla rete di teleriscaldamento.
</t>
        </r>
        <r>
          <rPr>
            <b/>
            <sz val="9"/>
            <color indexed="81"/>
            <rFont val="Tahoma"/>
            <family val="2"/>
          </rPr>
          <t>NON è la potenza in centrale</t>
        </r>
      </text>
    </comment>
    <comment ref="D18" authorId="0">
      <text>
        <r>
          <rPr>
            <sz val="9"/>
            <color indexed="81"/>
            <rFont val="Tahoma"/>
            <family val="2"/>
          </rPr>
          <t>La richiesta complessiva di potenza termica è sempre inferiore alla somma delle potenze termiche massime delle singole case. In un grande sistema con molte case, queste non richiedono tutte la potenza di picco allo stesso tempo.</t>
        </r>
      </text>
    </comment>
    <comment ref="D20" authorId="0">
      <text>
        <r>
          <rPr>
            <sz val="9"/>
            <color indexed="81"/>
            <rFont val="Tahoma"/>
            <family val="2"/>
          </rPr>
          <t>Queste perdite si intendono per metro lineare di tubatura (e non per metro lineare di scavo). Le perdite complessive sono quindi calcolate per l'andata e il ritorno</t>
        </r>
      </text>
    </comment>
    <comment ref="D22" authorId="0">
      <text>
        <r>
          <rPr>
            <sz val="9"/>
            <color indexed="81"/>
            <rFont val="Tahoma"/>
            <family val="2"/>
          </rPr>
          <t xml:space="preserve">Valore indicativo, indica le ore di funzionamento a regime nominale delle pompe di circolazione.
Numero necessario per quantificare l'energia termica annuale dispersa nella rete.
</t>
        </r>
        <r>
          <rPr>
            <b/>
            <sz val="9"/>
            <color indexed="81"/>
            <rFont val="Tahoma"/>
            <family val="2"/>
          </rPr>
          <t>NB</t>
        </r>
        <r>
          <rPr>
            <sz val="9"/>
            <color indexed="81"/>
            <rFont val="Tahoma"/>
            <family val="2"/>
          </rPr>
          <t>: il fluido circola dentro le condotte praticamente tutto l'anno, tuttavie le pompe possono essere a portata variabile, oppure più pompe in parallelo possono far variare il numero delle ore di funzionamento a regime nominale.</t>
        </r>
      </text>
    </comment>
    <comment ref="E23" authorId="0">
      <text>
        <r>
          <rPr>
            <sz val="9"/>
            <color indexed="81"/>
            <rFont val="Tahoma"/>
            <family val="2"/>
          </rPr>
          <t>Percentuale di dispersioni termiche della rete; rapporto tra energia dispersa ed energia distribuita.
(per un parco prevalentemente abitativo: in inverno si stima attorno al 5-10%, in estate 20-30%)</t>
        </r>
      </text>
    </comment>
    <comment ref="D24" authorId="0">
      <text>
        <r>
          <rPr>
            <sz val="9"/>
            <color indexed="81"/>
            <rFont val="Tahoma"/>
            <family val="2"/>
          </rPr>
          <t>Potenza termica richiesta all'uscita della centrale termica</t>
        </r>
      </text>
    </comment>
    <comment ref="D28" authorId="0">
      <text>
        <r>
          <rPr>
            <sz val="9"/>
            <color indexed="81"/>
            <rFont val="Tahoma"/>
            <family val="2"/>
          </rPr>
          <t xml:space="preserve">Da considerare le perdite nelle tubazioni in centrale, scambiatori di calore, stoccaggio termico in centrale, ecc.
</t>
        </r>
        <r>
          <rPr>
            <b/>
            <sz val="9"/>
            <color indexed="81"/>
            <rFont val="Tahoma"/>
            <family val="2"/>
          </rPr>
          <t xml:space="preserve">NON è legato al rendimento della caldaia
</t>
        </r>
        <r>
          <rPr>
            <sz val="9"/>
            <color indexed="81"/>
            <rFont val="Tahoma"/>
            <family val="2"/>
          </rPr>
          <t>(la percentuale corrisponde al rapporto tra energia persa nell'impianto sull'energia prodotta)</t>
        </r>
      </text>
    </comment>
    <comment ref="E30" authorId="0">
      <text>
        <r>
          <rPr>
            <sz val="9"/>
            <color indexed="81"/>
            <rFont val="Tahoma"/>
            <family val="2"/>
          </rPr>
          <t xml:space="preserve">Inserire le percentuali di copertura di energia termica.
</t>
        </r>
        <r>
          <rPr>
            <b/>
            <sz val="9"/>
            <color indexed="81"/>
            <rFont val="Tahoma"/>
            <family val="2"/>
          </rPr>
          <t>ATTENZIONE: la somma deve essere del 100%</t>
        </r>
      </text>
    </comment>
    <comment ref="E35" authorId="0">
      <text>
        <r>
          <rPr>
            <sz val="9"/>
            <color indexed="81"/>
            <rFont val="Tahoma"/>
            <family val="2"/>
          </rPr>
          <t>Potenza generatore 1
in rapporto alla potenza termica uscente dall'impianto</t>
        </r>
      </text>
    </comment>
    <comment ref="D36" authorId="0">
      <text>
        <r>
          <rPr>
            <sz val="9"/>
            <color indexed="81"/>
            <rFont val="Tahoma"/>
            <family val="2"/>
          </rPr>
          <t xml:space="preserve">Questo valore ha lo scopo esclusivamente di calcolare i consumi elettrici.
</t>
        </r>
        <r>
          <rPr>
            <b/>
            <sz val="9"/>
            <color indexed="81"/>
            <rFont val="Tahoma"/>
            <family val="2"/>
          </rPr>
          <t>Se il precedente valore di potenza non si riferisce ad una pompa di calore, inserire un valore nullo</t>
        </r>
      </text>
    </comment>
    <comment ref="E38" authorId="0">
      <text>
        <r>
          <rPr>
            <sz val="9"/>
            <color indexed="81"/>
            <rFont val="Tahoma"/>
            <family val="2"/>
          </rPr>
          <t>Potenza generatore 2
in rapporto alla potenza termica uscente dall'impianto</t>
        </r>
      </text>
    </comment>
    <comment ref="D39" authorId="0">
      <text>
        <r>
          <rPr>
            <sz val="9"/>
            <color indexed="81"/>
            <rFont val="Tahoma"/>
            <family val="2"/>
          </rPr>
          <t xml:space="preserve">Questo valore ha lo scopo esclusivamente di calcolare i consumi elettrici.
</t>
        </r>
        <r>
          <rPr>
            <b/>
            <sz val="9"/>
            <color indexed="81"/>
            <rFont val="Tahoma"/>
            <family val="2"/>
          </rPr>
          <t>Se il precedente valore di potenza non si riferisce ad una pompa di calore, inserire un valore nullo.</t>
        </r>
      </text>
    </comment>
    <comment ref="E41" authorId="0">
      <text>
        <r>
          <rPr>
            <sz val="9"/>
            <color indexed="81"/>
            <rFont val="Tahoma"/>
            <family val="2"/>
          </rPr>
          <t>Potenza generatore "altro"
in rapporto alla potenza termica uscente dall'impianto</t>
        </r>
      </text>
    </comment>
    <comment ref="D42" authorId="0">
      <text>
        <r>
          <rPr>
            <sz val="9"/>
            <color indexed="81"/>
            <rFont val="Tahoma"/>
            <family val="2"/>
          </rPr>
          <t>Questo valore ha lo scopo esclusivamente di calcolare i consumi elettrici.</t>
        </r>
        <r>
          <rPr>
            <b/>
            <sz val="9"/>
            <color indexed="81"/>
            <rFont val="Tahoma"/>
            <family val="2"/>
          </rPr>
          <t xml:space="preserve">
Se il precedente valore di potenza non si riferisce ad una pompa di calore, inserire un valore nullo.</t>
        </r>
      </text>
    </comment>
    <comment ref="E43" authorId="0">
      <text>
        <r>
          <rPr>
            <sz val="9"/>
            <color indexed="81"/>
            <rFont val="Tahoma"/>
            <family val="2"/>
          </rPr>
          <t>indicatore di sovradimensionamento dell'impanto</t>
        </r>
      </text>
    </comment>
    <comment ref="D46" authorId="0">
      <text>
        <r>
          <rPr>
            <sz val="9"/>
            <color indexed="81"/>
            <rFont val="Tahoma"/>
            <family val="2"/>
          </rPr>
          <t>Se non presente un elettrofiltro, o se non si conosce in dettaglio il suo funzionamento, inserire un valore nullo in questa cella.</t>
        </r>
      </text>
    </comment>
    <comment ref="D52" authorId="0">
      <text>
        <r>
          <rPr>
            <sz val="9"/>
            <color indexed="81"/>
            <rFont val="Tahoma"/>
            <family val="2"/>
          </rPr>
          <t>Questa cella si attiva da sola  quando nelle celle D36 - D39 - D42 viene inserito un valore di CLA diverso da zero ("0").
Indica l'elettricità consumata dalle pompe di calore.</t>
        </r>
      </text>
    </comment>
    <comment ref="D57" authorId="0">
      <text>
        <r>
          <rPr>
            <sz val="9"/>
            <color indexed="81"/>
            <rFont val="Tahoma"/>
            <family val="2"/>
          </rPr>
          <t>• Da 35 a 40 kWh/m2a (fonte: pianificazione energetica del territorio – Modulo 6: Teleriscaldamento)
• Manuale “QS-Holzeizung – Automatische Holzheizungen – Planung und Ausführung”
&lt;50 kWh/am2 : non idoneo
50-70 kWh/am2 : limitatamente idoneo
&gt;70 kWh/am2 : idoneo</t>
        </r>
      </text>
    </comment>
    <comment ref="D58" authorId="0">
      <text>
        <r>
          <rPr>
            <sz val="9"/>
            <color indexed="81"/>
            <rFont val="Tahoma"/>
            <family val="2"/>
          </rPr>
          <t>valore consigliato:
&gt;50 MW/km2</t>
        </r>
      </text>
    </comment>
    <comment ref="D59" authorId="0">
      <text>
        <r>
          <rPr>
            <sz val="9"/>
            <color indexed="81"/>
            <rFont val="Tahoma"/>
            <family val="2"/>
          </rPr>
          <t>valore consigliato:
&gt;1.5-2 MWh/m</t>
        </r>
      </text>
    </comment>
    <comment ref="D60" authorId="0">
      <text>
        <r>
          <rPr>
            <sz val="9"/>
            <color indexed="81"/>
            <rFont val="Tahoma"/>
            <family val="2"/>
          </rPr>
          <t>valore consigliato:
&gt;1 kW/m</t>
        </r>
      </text>
    </comment>
    <comment ref="D67" authorId="0">
      <text>
        <r>
          <rPr>
            <sz val="9"/>
            <color indexed="81"/>
            <rFont val="Tahoma"/>
            <family val="2"/>
          </rPr>
          <t>Se necessario reinserire i valori di potenza termica già inseriti nelle celle D35, D38 o D D41.</t>
        </r>
      </text>
    </comment>
    <comment ref="D68" authorId="0">
      <text>
        <r>
          <rPr>
            <sz val="9"/>
            <color indexed="81"/>
            <rFont val="Tahoma"/>
            <family val="2"/>
          </rPr>
          <t>Inserire il valore di potenza elettrica generata.</t>
        </r>
      </text>
    </comment>
    <comment ref="D69" authorId="0">
      <text>
        <r>
          <rPr>
            <sz val="9"/>
            <color indexed="81"/>
            <rFont val="Tahoma"/>
            <family val="2"/>
          </rPr>
          <t>Se necessario reinserire i valori di energia termica già calcolati nelle celle D30, D31 o D D32.</t>
        </r>
      </text>
    </comment>
    <comment ref="D71" authorId="0">
      <text>
        <r>
          <rPr>
            <sz val="9"/>
            <color indexed="81"/>
            <rFont val="Tahoma"/>
            <family val="2"/>
          </rPr>
          <t>È il rapporto tra il numero di ore di funzionamento all'anno ed il numero massimo do ore annue (8760h/a)</t>
        </r>
      </text>
    </comment>
  </commentList>
</comments>
</file>

<file path=xl/comments2.xml><?xml version="1.0" encoding="utf-8"?>
<comments xmlns="http://schemas.openxmlformats.org/spreadsheetml/2006/main">
  <authors>
    <author>Marco Belliardi</author>
    <author>Fasciana Michele</author>
  </authors>
  <commentList>
    <comment ref="D11" authorId="0">
      <text>
        <r>
          <rPr>
            <sz val="9"/>
            <color indexed="81"/>
            <rFont val="Tahoma"/>
            <family val="2"/>
          </rPr>
          <t>Comprende tutti i consumi elettrici presenti in centrale termica, esclusi quelli dell'eventuale pompa di calore (cella successiva D12)</t>
        </r>
      </text>
    </comment>
    <comment ref="E18" authorId="0">
      <text>
        <r>
          <rPr>
            <sz val="9"/>
            <color indexed="81"/>
            <rFont val="Tahoma"/>
            <family val="2"/>
          </rPr>
          <t>Inserire i collegamenti con le celle D7-D8 e D9</t>
        </r>
      </text>
    </comment>
    <comment ref="J18" authorId="0">
      <text>
        <r>
          <rPr>
            <sz val="9"/>
            <color indexed="81"/>
            <rFont val="Tahoma"/>
            <family val="2"/>
          </rPr>
          <t>Valori proposti e di massima, se oppurtuno modificare</t>
        </r>
      </text>
    </comment>
    <comment ref="P20" authorId="0">
      <text>
        <r>
          <rPr>
            <sz val="9"/>
            <color indexed="81"/>
            <rFont val="Tahoma"/>
            <family val="2"/>
          </rPr>
          <t xml:space="preserve">Potenza installata per la caldaia a biomassa:
</t>
        </r>
        <r>
          <rPr>
            <b/>
            <sz val="9"/>
            <color indexed="81"/>
            <rFont val="Tahoma"/>
            <family val="2"/>
          </rPr>
          <t xml:space="preserve"> - inserire 1 per il generatore 1
 - inserire 2 per il generatore 2
 - inserire 3 per il generatore 3</t>
        </r>
      </text>
    </comment>
    <comment ref="P21" authorId="0">
      <text>
        <r>
          <rPr>
            <sz val="9"/>
            <color indexed="81"/>
            <rFont val="Tahoma"/>
            <family val="2"/>
          </rPr>
          <t xml:space="preserve">Verificare la potenza installata per la caldaia a biomassa
</t>
        </r>
      </text>
    </comment>
    <comment ref="P22" authorId="0">
      <text>
        <r>
          <rPr>
            <sz val="9"/>
            <color indexed="81"/>
            <rFont val="Tahoma"/>
            <family val="2"/>
          </rPr>
          <t xml:space="preserve">Consumo di combustibile a piena potenza del generatore sopra inserito.
</t>
        </r>
        <r>
          <rPr>
            <b/>
            <sz val="9"/>
            <color indexed="81"/>
            <rFont val="Tahoma"/>
            <family val="2"/>
          </rPr>
          <t>Verificare il collegamento con i PCI e i rendimenti</t>
        </r>
      </text>
    </comment>
    <comment ref="H26" authorId="0">
      <text>
        <r>
          <rPr>
            <sz val="9"/>
            <color indexed="81"/>
            <rFont val="Tahoma"/>
            <family val="2"/>
          </rPr>
          <t>Quantità di energia elettrica autoconsumata</t>
        </r>
      </text>
    </comment>
    <comment ref="L26" authorId="1">
      <text>
        <r>
          <rPr>
            <sz val="9"/>
            <color indexed="81"/>
            <rFont val="Tahoma"/>
            <family val="2"/>
          </rPr>
          <t>Valore negativo (costo risparmiato)</t>
        </r>
      </text>
    </comment>
    <comment ref="J27" authorId="0">
      <text>
        <r>
          <rPr>
            <sz val="9"/>
            <color indexed="81"/>
            <rFont val="Tahoma"/>
            <family val="2"/>
          </rPr>
          <t>compenso dell'azienda elettrica per l'immmissione in rete di elettricità</t>
        </r>
      </text>
    </comment>
    <comment ref="L27" authorId="0">
      <text>
        <r>
          <rPr>
            <sz val="9"/>
            <color indexed="81"/>
            <rFont val="Tahoma"/>
            <family val="2"/>
          </rPr>
          <t>valore negativo (entrata)</t>
        </r>
      </text>
    </comment>
  </commentList>
</comments>
</file>

<file path=xl/comments3.xml><?xml version="1.0" encoding="utf-8"?>
<comments xmlns="http://schemas.openxmlformats.org/spreadsheetml/2006/main">
  <authors>
    <author>Marco Belliardi</author>
    <author>Fasciana Michele</author>
  </authors>
  <commentList>
    <comment ref="R9" authorId="0">
      <text>
        <r>
          <rPr>
            <sz val="9"/>
            <color indexed="81"/>
            <rFont val="Tahoma"/>
            <family val="2"/>
          </rPr>
          <t>onorari, assicurazione, manutenzione, ecc</t>
        </r>
      </text>
    </comment>
    <comment ref="C14" authorId="0">
      <text>
        <r>
          <rPr>
            <sz val="9"/>
            <color indexed="81"/>
            <rFont val="Tahoma"/>
            <family val="2"/>
          </rPr>
          <t>Scambiatori di calore in centrale, vasi di espansione, pompe in centrale, regolazione e controllo</t>
        </r>
      </text>
    </comment>
    <comment ref="C15" authorId="0">
      <text>
        <r>
          <rPr>
            <sz val="9"/>
            <color indexed="81"/>
            <rFont val="Tahoma"/>
            <family val="2"/>
          </rPr>
          <t>Tutto ciò che può non essere previsto nei precedenti punti
ad es: canne fumarie, condotte, boiler,  pompe, fornitura, imprevisti, ecc.</t>
        </r>
      </text>
    </comment>
    <comment ref="L19" authorId="1">
      <text>
        <r>
          <rPr>
            <sz val="9"/>
            <color indexed="81"/>
            <rFont val="Tahoma"/>
            <family val="2"/>
          </rPr>
          <t>Incluso Progettazione, direzione lavori e messa in esercizio</t>
        </r>
      </text>
    </comment>
    <comment ref="C21" authorId="0">
      <text>
        <r>
          <rPr>
            <sz val="9"/>
            <color indexed="81"/>
            <rFont val="Tahoma"/>
            <family val="2"/>
          </rPr>
          <t>Tutto ciò che può non essere previsto nei precedenti punti
ad es: canne fumarie, condotte, boiler,  pompe, fornitura, imprevisti, ecc.</t>
        </r>
      </text>
    </comment>
    <comment ref="C31" authorId="0">
      <text>
        <r>
          <rPr>
            <sz val="9"/>
            <color indexed="81"/>
            <rFont val="Tahoma"/>
            <family val="2"/>
          </rPr>
          <t>scambiatore di calore, armadio</t>
        </r>
      </text>
    </comment>
    <comment ref="C32" authorId="0">
      <text>
        <r>
          <rPr>
            <sz val="9"/>
            <color indexed="81"/>
            <rFont val="Tahoma"/>
            <family val="2"/>
          </rPr>
          <t>Valvole, controller, sonde, pompa , contacalorie, ecc</t>
        </r>
      </text>
    </comment>
    <comment ref="C36" authorId="0">
      <text>
        <r>
          <rPr>
            <sz val="9"/>
            <color indexed="81"/>
            <rFont val="Tahoma"/>
            <family val="2"/>
          </rPr>
          <t>Tutto ciò che può non essere previsto nei precedenti punti
Ad es: Materiale accessorio, ecc..</t>
        </r>
      </text>
    </comment>
    <comment ref="C41" authorId="1">
      <text>
        <r>
          <rPr>
            <sz val="9"/>
            <color indexed="81"/>
            <rFont val="Tahoma"/>
            <family val="2"/>
          </rPr>
          <t>Incluso Progettazione, direzione lavori e messa in esercizio</t>
        </r>
      </text>
    </comment>
    <comment ref="C42" authorId="1">
      <text>
        <r>
          <rPr>
            <sz val="9"/>
            <color indexed="81"/>
            <rFont val="Tahoma"/>
            <family val="2"/>
          </rPr>
          <t>Incluso Progettazione, direzione lavori e messa in esercizio</t>
        </r>
      </text>
    </comment>
    <comment ref="C44" authorId="0">
      <text>
        <r>
          <rPr>
            <sz val="9"/>
            <color indexed="81"/>
            <rFont val="Tahoma"/>
            <family val="2"/>
          </rPr>
          <t>es: tassa sul clima, tassa base elettricità, ecc...</t>
        </r>
      </text>
    </comment>
  </commentList>
</comments>
</file>

<file path=xl/comments4.xml><?xml version="1.0" encoding="utf-8"?>
<comments xmlns="http://schemas.openxmlformats.org/spreadsheetml/2006/main">
  <authors>
    <author>Marco Belliardi</author>
  </authors>
  <commentList>
    <comment ref="G10" authorId="0">
      <text>
        <r>
          <rPr>
            <sz val="9"/>
            <color indexed="81"/>
            <rFont val="Tahoma"/>
            <family val="2"/>
          </rPr>
          <t>Necessario per il calcolo dell'annualità, i valori vengono ripresi dal foglio "Investimenti"</t>
        </r>
      </text>
    </comment>
  </commentList>
</comments>
</file>

<file path=xl/comments5.xml><?xml version="1.0" encoding="utf-8"?>
<comments xmlns="http://schemas.openxmlformats.org/spreadsheetml/2006/main">
  <authors>
    <author>barbara</author>
    <author>Marco Belliardi</author>
    <author>Fasciana Michele</author>
  </authors>
  <commentList>
    <comment ref="C31" authorId="0">
      <text>
        <r>
          <rPr>
            <sz val="9"/>
            <color indexed="81"/>
            <rFont val="Tahoma"/>
            <family val="2"/>
          </rPr>
          <t>tassa sul clima, tassa base elettricità, ecc...</t>
        </r>
      </text>
    </comment>
    <comment ref="B37" authorId="1">
      <text>
        <r>
          <rPr>
            <sz val="9"/>
            <color indexed="81"/>
            <rFont val="Tahoma"/>
            <family val="2"/>
          </rPr>
          <t>si intende compresa anche la voce "altri costi"</t>
        </r>
      </text>
    </comment>
    <comment ref="D37" authorId="2">
      <text>
        <r>
          <rPr>
            <sz val="9"/>
            <color indexed="81"/>
            <rFont val="Tahoma"/>
            <family val="2"/>
          </rPr>
          <t>Costo unitario di produzione del calore, al netto dei ricavi sulla produzione di energia elettrica</t>
        </r>
      </text>
    </comment>
    <comment ref="D41" authorId="2">
      <text>
        <r>
          <rPr>
            <sz val="9"/>
            <color indexed="81"/>
            <rFont val="Tahoma"/>
            <family val="2"/>
          </rPr>
          <t>Costo unitario di produzione del calore, al netto dei ricavi sulla produzione di energia elettrica e al netto degli incentivi</t>
        </r>
      </text>
    </comment>
  </commentList>
</comments>
</file>

<file path=xl/comments6.xml><?xml version="1.0" encoding="utf-8"?>
<comments xmlns="http://schemas.openxmlformats.org/spreadsheetml/2006/main">
  <authors>
    <author>Marco Belliardi</author>
  </authors>
  <commentList>
    <comment ref="C17" authorId="0">
      <text>
        <r>
          <rPr>
            <sz val="9"/>
            <color indexed="81"/>
            <rFont val="Tahoma"/>
            <family val="2"/>
          </rPr>
          <t>Utile per la conversione da "una tantum"a "calcolo annualità" utilizzato nel Business Plan</t>
        </r>
      </text>
    </comment>
  </commentList>
</comments>
</file>

<file path=xl/comments7.xml><?xml version="1.0" encoding="utf-8"?>
<comments xmlns="http://schemas.openxmlformats.org/spreadsheetml/2006/main">
  <authors>
    <author>Marco Belliardi</author>
  </authors>
  <commentList>
    <comment ref="E25" authorId="0">
      <text>
        <r>
          <rPr>
            <sz val="9"/>
            <color indexed="81"/>
            <rFont val="Tahoma"/>
            <family val="2"/>
          </rPr>
          <t>•</t>
        </r>
        <r>
          <rPr>
            <b/>
            <sz val="9"/>
            <color indexed="81"/>
            <rFont val="Tahoma"/>
            <family val="2"/>
          </rPr>
          <t xml:space="preserve"> Da 35 a 40 kWh/am2</t>
        </r>
        <r>
          <rPr>
            <sz val="9"/>
            <color indexed="81"/>
            <rFont val="Tahoma"/>
            <family val="2"/>
          </rPr>
          <t xml:space="preserve"> (fonte: pianificazione energetica del territorio – Modulo 6: Teleriscaldamento)
• Manuale “QS-Holzeizung – Automatische Holzheizungen – Planung und Ausführung”
</t>
        </r>
        <r>
          <rPr>
            <b/>
            <sz val="9"/>
            <color indexed="81"/>
            <rFont val="Tahoma"/>
            <family val="2"/>
          </rPr>
          <t>&lt;50 kWh/am2</t>
        </r>
        <r>
          <rPr>
            <sz val="9"/>
            <color indexed="81"/>
            <rFont val="Tahoma"/>
            <family val="2"/>
          </rPr>
          <t xml:space="preserve"> : non idoneo
</t>
        </r>
        <r>
          <rPr>
            <b/>
            <sz val="9"/>
            <color indexed="81"/>
            <rFont val="Tahoma"/>
            <family val="2"/>
          </rPr>
          <t>50-70 kWh/am2</t>
        </r>
        <r>
          <rPr>
            <sz val="9"/>
            <color indexed="81"/>
            <rFont val="Tahoma"/>
            <family val="2"/>
          </rPr>
          <t xml:space="preserve"> : limitatamente idoneo
</t>
        </r>
        <r>
          <rPr>
            <b/>
            <sz val="9"/>
            <color indexed="81"/>
            <rFont val="Tahoma"/>
            <family val="2"/>
          </rPr>
          <t xml:space="preserve">&gt;70 kWh/am2 </t>
        </r>
        <r>
          <rPr>
            <sz val="9"/>
            <color indexed="81"/>
            <rFont val="Tahoma"/>
            <family val="2"/>
          </rPr>
          <t>: idoneo</t>
        </r>
      </text>
    </comment>
    <comment ref="E26" authorId="0">
      <text>
        <r>
          <rPr>
            <b/>
            <sz val="9"/>
            <color indexed="81"/>
            <rFont val="Tahoma"/>
            <family val="2"/>
          </rPr>
          <t>valore consigliato:
&gt;50 MW/km2</t>
        </r>
      </text>
    </comment>
    <comment ref="E27" authorId="0">
      <text>
        <r>
          <rPr>
            <b/>
            <sz val="9"/>
            <color indexed="81"/>
            <rFont val="Tahoma"/>
            <family val="2"/>
          </rPr>
          <t>valore consigliato:
&gt; 1.5 - 2 MWh/m</t>
        </r>
      </text>
    </comment>
    <comment ref="E28" authorId="0">
      <text>
        <r>
          <rPr>
            <b/>
            <sz val="9"/>
            <color indexed="81"/>
            <rFont val="Tahoma"/>
            <family val="2"/>
          </rPr>
          <t>valore consigliato:
&gt; 1 kW/m</t>
        </r>
      </text>
    </comment>
  </commentList>
</comments>
</file>

<file path=xl/comments8.xml><?xml version="1.0" encoding="utf-8"?>
<comments xmlns="http://schemas.openxmlformats.org/spreadsheetml/2006/main">
  <authors>
    <author>Marco Belliardi</author>
  </authors>
  <commentList>
    <comment ref="B8" authorId="0">
      <text>
        <r>
          <rPr>
            <sz val="9"/>
            <color indexed="81"/>
            <rFont val="Tahoma"/>
            <family val="2"/>
          </rPr>
          <t>Indici non validati</t>
        </r>
      </text>
    </comment>
  </commentList>
</comments>
</file>

<file path=xl/comments9.xml><?xml version="1.0" encoding="utf-8"?>
<comments xmlns="http://schemas.openxmlformats.org/spreadsheetml/2006/main">
  <authors>
    <author>Marco Belliardi</author>
    <author>barbara</author>
  </authors>
  <commentList>
    <comment ref="K11" authorId="0">
      <text>
        <r>
          <rPr>
            <sz val="9"/>
            <color indexed="81"/>
            <rFont val="Tahoma"/>
            <family val="2"/>
          </rPr>
          <t>Scambiatori di calore in centrale, vasi di espansione, pompe in centrale, regolazione e controllo</t>
        </r>
      </text>
    </comment>
    <comment ref="K12" authorId="0">
      <text>
        <r>
          <rPr>
            <sz val="9"/>
            <color indexed="81"/>
            <rFont val="Tahoma"/>
            <family val="2"/>
          </rPr>
          <t>Tutto ciò che può non essere previsto nei precedenti punti
ad es: canne fumarie, condotte, boiler,  pompe, fornitura, imprevisti, ecc.</t>
        </r>
      </text>
    </comment>
    <comment ref="K28" authorId="0">
      <text>
        <r>
          <rPr>
            <sz val="9"/>
            <color indexed="81"/>
            <rFont val="Tahoma"/>
            <family val="2"/>
          </rPr>
          <t>scambiatore di calore, armadio</t>
        </r>
      </text>
    </comment>
    <comment ref="K29" authorId="0">
      <text>
        <r>
          <rPr>
            <sz val="9"/>
            <color indexed="81"/>
            <rFont val="Tahoma"/>
            <family val="2"/>
          </rPr>
          <t>Valvole, controller, sonde, pompa , contacalorie, ecc</t>
        </r>
      </text>
    </comment>
    <comment ref="K33" authorId="1">
      <text>
        <r>
          <rPr>
            <sz val="9"/>
            <color indexed="81"/>
            <rFont val="Tahoma"/>
            <family val="2"/>
          </rPr>
          <t>Tutto ciò che può non essere previsto nei precedenti punti
Ad es: Prestazioni di terzi, materiale accessorio, ecc..</t>
        </r>
      </text>
    </comment>
    <comment ref="K44" authorId="0">
      <text>
        <r>
          <rPr>
            <sz val="9"/>
            <color indexed="81"/>
            <rFont val="Tahoma"/>
            <family val="2"/>
          </rPr>
          <t>es: tassa sul clima, tassa base elettricità, ecc...</t>
        </r>
      </text>
    </comment>
  </commentList>
</comments>
</file>

<file path=xl/sharedStrings.xml><?xml version="1.0" encoding="utf-8"?>
<sst xmlns="http://schemas.openxmlformats.org/spreadsheetml/2006/main" count="919" uniqueCount="592">
  <si>
    <t>TOTALE INVESTIMENTI</t>
  </si>
  <si>
    <t>CHF/a</t>
  </si>
  <si>
    <t>%</t>
  </si>
  <si>
    <t>Costo del personale</t>
  </si>
  <si>
    <t xml:space="preserve">Manutenzione </t>
  </si>
  <si>
    <t>Fabbisogno totale calore utenti (domanda)</t>
  </si>
  <si>
    <t>kWh/a</t>
  </si>
  <si>
    <t>nr.</t>
  </si>
  <si>
    <t>kW</t>
  </si>
  <si>
    <t>CHF/kW</t>
  </si>
  <si>
    <t>Durata (anni)</t>
  </si>
  <si>
    <t>Tasse allacciamento utenti</t>
  </si>
  <si>
    <t>Vettori energetici</t>
  </si>
  <si>
    <t>Cippato</t>
  </si>
  <si>
    <t>Elettricità</t>
  </si>
  <si>
    <t>Pellets</t>
  </si>
  <si>
    <t>Olio combustibile</t>
  </si>
  <si>
    <t>Gas metano</t>
  </si>
  <si>
    <t>Gas GPL</t>
  </si>
  <si>
    <t>kg/a</t>
  </si>
  <si>
    <t>TOTALE</t>
  </si>
  <si>
    <t xml:space="preserve">Ricavi medi annui vendita calore </t>
  </si>
  <si>
    <t>Ricavi medi annui abbonamenti</t>
  </si>
  <si>
    <t>Ricavi medi annui vendita energia elettrica</t>
  </si>
  <si>
    <t>Altri ricavi medi annui</t>
  </si>
  <si>
    <t>FABBISOGNO VETTORI ENERGETICI PER GENERATORE DI CALORE</t>
  </si>
  <si>
    <t>TIR</t>
  </si>
  <si>
    <t>ALTRI COSTI</t>
  </si>
  <si>
    <t>Opere civili</t>
  </si>
  <si>
    <t>Impianto elettrico</t>
  </si>
  <si>
    <t>Qtà</t>
  </si>
  <si>
    <t>Costo unitario</t>
  </si>
  <si>
    <t>COSTO DELL'ENERGIA</t>
  </si>
  <si>
    <t>Costi manutenzione</t>
  </si>
  <si>
    <t>(%)</t>
  </si>
  <si>
    <t>(CHF/a)</t>
  </si>
  <si>
    <t xml:space="preserve">CALORE </t>
  </si>
  <si>
    <t>COGENERAZIONE</t>
  </si>
  <si>
    <t>ml</t>
  </si>
  <si>
    <t>Centrale termica</t>
  </si>
  <si>
    <t>Assicurazione</t>
  </si>
  <si>
    <t xml:space="preserve">Assicurazioni </t>
  </si>
  <si>
    <t>TOTALE COSTI OPERATIVI</t>
  </si>
  <si>
    <t>VETTORI ENERGETICI</t>
  </si>
  <si>
    <t>indicatori efficienza economica</t>
  </si>
  <si>
    <t>Non-renewable energy resources (fossil + nuclear)</t>
  </si>
  <si>
    <t>CO2</t>
  </si>
  <si>
    <t>kWh/kWh</t>
  </si>
  <si>
    <t>g/kWh</t>
  </si>
  <si>
    <t>caldaia a olio combustibile (kWhth)</t>
  </si>
  <si>
    <t>caldaia a legno cippato (kWhth)</t>
  </si>
  <si>
    <t>caldaia a pellets (kWhth)</t>
  </si>
  <si>
    <t>elettricità, Schweiz Strommix (kWhel)</t>
  </si>
  <si>
    <t>Emissioni con elettricità</t>
  </si>
  <si>
    <t>Totale emissioni</t>
  </si>
  <si>
    <t>Fabbisogno energetico (kWh/a)</t>
  </si>
  <si>
    <t>Quantità</t>
  </si>
  <si>
    <t>Totale Fabbisogno</t>
  </si>
  <si>
    <t>Fabbisogno energetico (kWh)</t>
  </si>
  <si>
    <t>Investimenti</t>
  </si>
  <si>
    <t>Costi energia</t>
  </si>
  <si>
    <t>Costo energia/calore prodotto</t>
  </si>
  <si>
    <t>Costo energia/costi totali</t>
  </si>
  <si>
    <t>ctsCHF/kWh</t>
  </si>
  <si>
    <t>Costi totali</t>
  </si>
  <si>
    <t>Indicatori efficienza produttiva</t>
  </si>
  <si>
    <t>Produttività relativa impianto</t>
  </si>
  <si>
    <t>Calore prodotto/Popolazione servita</t>
  </si>
  <si>
    <t>Nr unità immobiliari servite/totale unità immobiliari</t>
  </si>
  <si>
    <t>VENDITA ENERGIA</t>
  </si>
  <si>
    <t>ALLACCIAMENTO</t>
  </si>
  <si>
    <t>ALTRI RICAVI</t>
  </si>
  <si>
    <t>Grado copertura costi del servizio</t>
  </si>
  <si>
    <t>Totale ricavi/Totale costi</t>
  </si>
  <si>
    <t>Grado copertura servizio</t>
  </si>
  <si>
    <t>Distribuzione</t>
  </si>
  <si>
    <t>Energia totale utilizzata/calore prodotto</t>
  </si>
  <si>
    <t>Cogenerazione</t>
  </si>
  <si>
    <t>Densità della domanda</t>
  </si>
  <si>
    <t xml:space="preserve">Impiegati </t>
  </si>
  <si>
    <t>Quadri</t>
  </si>
  <si>
    <t>Operai</t>
  </si>
  <si>
    <t>Incentivi federali</t>
  </si>
  <si>
    <t>Incentivi cantonali</t>
  </si>
  <si>
    <t>COSTO DEL PERSONALE</t>
  </si>
  <si>
    <t xml:space="preserve">Totale </t>
  </si>
  <si>
    <t>Produzione/vendita</t>
  </si>
  <si>
    <t>INCENTIVI FEDERALI E CANTONALI</t>
  </si>
  <si>
    <t>Residenziale/domestico</t>
  </si>
  <si>
    <t>Non residenziale</t>
  </si>
  <si>
    <t>Incidenza spese energia</t>
  </si>
  <si>
    <t>Costo manutenzione/costo totale</t>
  </si>
  <si>
    <t>Costo personale/costo totale</t>
  </si>
  <si>
    <t>m2</t>
  </si>
  <si>
    <t xml:space="preserve">Costi diversi </t>
  </si>
  <si>
    <t>Altri incentivi</t>
  </si>
  <si>
    <t>Altri</t>
  </si>
  <si>
    <t>Unità immobiliari servite</t>
  </si>
  <si>
    <t>Utenti da servire - totali</t>
  </si>
  <si>
    <t>Costi diversi</t>
  </si>
  <si>
    <t>CHF/ml</t>
  </si>
  <si>
    <t>altro</t>
  </si>
  <si>
    <t>fattore di contemporaneità</t>
  </si>
  <si>
    <t>Fabbisogni termici</t>
  </si>
  <si>
    <t>Rete e utenze</t>
  </si>
  <si>
    <t>Indici energetici</t>
  </si>
  <si>
    <t>kW/m</t>
  </si>
  <si>
    <t>TOTALE incentivi cantonali</t>
  </si>
  <si>
    <t>INCENTIVI</t>
  </si>
  <si>
    <t>CHF/m3</t>
  </si>
  <si>
    <t>CHF/kWh</t>
  </si>
  <si>
    <t>litri/a</t>
  </si>
  <si>
    <t>CHF/litro</t>
  </si>
  <si>
    <t>TOTALE Costo Personale</t>
  </si>
  <si>
    <t>COSTI</t>
  </si>
  <si>
    <t>DATI TECNICI</t>
  </si>
  <si>
    <t>RICAVI</t>
  </si>
  <si>
    <t>INDICATORI TECNICI</t>
  </si>
  <si>
    <t>INDICATORI ECONOMICI</t>
  </si>
  <si>
    <t>INDICATORI AMBIENTALI</t>
  </si>
  <si>
    <t>Costo elettrofiltro/potenza installata</t>
  </si>
  <si>
    <t>Complessivo</t>
  </si>
  <si>
    <t>Caldaia principale (no opere civili)</t>
  </si>
  <si>
    <t>caldaia secondaria</t>
  </si>
  <si>
    <t>Sottostazioni - scambiatori</t>
  </si>
  <si>
    <t>INVESTIMENTI</t>
  </si>
  <si>
    <t>RIASSUNTO CONSUMI ENERGETICI</t>
  </si>
  <si>
    <t>kWh/m3</t>
  </si>
  <si>
    <t>kWh/kg</t>
  </si>
  <si>
    <t>kWh/litro</t>
  </si>
  <si>
    <t>Fabbisogni di energia globali/SRE</t>
  </si>
  <si>
    <t>Rendimento medio della rete</t>
  </si>
  <si>
    <t>Calore prodotto/potenza installata (ore anno equivalenti)</t>
  </si>
  <si>
    <t>Utenti allacciati/utenti totali (1° anno)</t>
  </si>
  <si>
    <t>Utenti allacciati/utenti totali (5° anno)</t>
  </si>
  <si>
    <t>Nr clienti totali/km2</t>
  </si>
  <si>
    <t>Nr clienti residenziali/km2</t>
  </si>
  <si>
    <t>Nr clienti non residenziali/km2</t>
  </si>
  <si>
    <t>indici globali di fattibilità</t>
  </si>
  <si>
    <t>CHF/utente</t>
  </si>
  <si>
    <t>PRODUZIONE CALORE</t>
  </si>
  <si>
    <t>CENTRALE</t>
  </si>
  <si>
    <t>VETTORE ENERGETICO</t>
  </si>
  <si>
    <t>COSTI CENTRALE</t>
  </si>
  <si>
    <t>COSTI DISTRIBUZIONE</t>
  </si>
  <si>
    <t>Incentivi</t>
  </si>
  <si>
    <t>GRAFICO</t>
  </si>
  <si>
    <t>Altro</t>
  </si>
  <si>
    <t>DISTRIBUZIONE CALORE</t>
  </si>
  <si>
    <t xml:space="preserve">PRODUZIONE CALORE </t>
  </si>
  <si>
    <t>Totale</t>
  </si>
  <si>
    <t xml:space="preserve">Altro </t>
  </si>
  <si>
    <t>Prestazioni di terzi</t>
  </si>
  <si>
    <t>Costo produzione calore/potenza installata</t>
  </si>
  <si>
    <t>Costo di produzione</t>
  </si>
  <si>
    <t>Calore</t>
  </si>
  <si>
    <t>Energia elettrica</t>
  </si>
  <si>
    <t>Costo unitario produzione calore (compresi gli incentivi)</t>
  </si>
  <si>
    <t>Costo unitario produzione energia elettrica (cogenerazione)</t>
  </si>
  <si>
    <t>Costo produzione energia elettrica/potenza elettrica installata</t>
  </si>
  <si>
    <t>Costo sottostazioni per kWh distribuito</t>
  </si>
  <si>
    <t>Opere civili/potenza installata</t>
  </si>
  <si>
    <t>Costo sottostazioni per ml</t>
  </si>
  <si>
    <t>Altri costi d'esercizio</t>
  </si>
  <si>
    <t>CHF/cliente</t>
  </si>
  <si>
    <t>Procedura:</t>
  </si>
  <si>
    <t>-</t>
  </si>
  <si>
    <t>Emissioni con caldaia a cippato</t>
  </si>
  <si>
    <t>Emissioni con caldaia a pellet</t>
  </si>
  <si>
    <t>Emissioni con caldaia a olio</t>
  </si>
  <si>
    <t>Emissioni con caldaia a metano</t>
  </si>
  <si>
    <t>Emissioni con caldaia a gpl</t>
  </si>
  <si>
    <t>caldaia a gas metano (kWhth)</t>
  </si>
  <si>
    <t>PCI</t>
  </si>
  <si>
    <t>caldaia a gas GPL (kWhth)</t>
  </si>
  <si>
    <t>Sottostazioni - altro (lavori, allacciam, ecc.)</t>
  </si>
  <si>
    <t>Termici</t>
  </si>
  <si>
    <t>Elettrici</t>
  </si>
  <si>
    <t>W/m</t>
  </si>
  <si>
    <t>h/a</t>
  </si>
  <si>
    <t>SOMMA</t>
  </si>
  <si>
    <t>cts/kWh</t>
  </si>
  <si>
    <t>anni di media</t>
  </si>
  <si>
    <t>Consigliati</t>
  </si>
  <si>
    <t>CHF/km</t>
  </si>
  <si>
    <t>Costi parziali</t>
  </si>
  <si>
    <t>sottostazioni</t>
  </si>
  <si>
    <t>Costo per le sottostazioni (complessivo)/potenza installata</t>
  </si>
  <si>
    <t>200 -- 350</t>
  </si>
  <si>
    <t>100 -- 150</t>
  </si>
  <si>
    <t>Costo totale rete (complessivo)/metri di scavi</t>
  </si>
  <si>
    <t>Costo totale rete (tubazioni)/metri di scavi</t>
  </si>
  <si>
    <t>Costo centrale termica (caldaia)/potenza installata</t>
  </si>
  <si>
    <t>200 -- 300</t>
  </si>
  <si>
    <t>Centrale termica (opere civili)/potenza installata</t>
  </si>
  <si>
    <t>400 -- 500</t>
  </si>
  <si>
    <t>valori tipici</t>
  </si>
  <si>
    <t>Costo totale/metri di scavo (senza incentivi)</t>
  </si>
  <si>
    <t>Costo totale/fabbisogno di calore (senza incentivi)</t>
  </si>
  <si>
    <t>CHF/MWh</t>
  </si>
  <si>
    <t>CHF (totali)</t>
  </si>
  <si>
    <t>TOTALE - COMPLESSIVO</t>
  </si>
  <si>
    <t>&gt; 40 - 50 - 70</t>
  </si>
  <si>
    <t>&gt; 50</t>
  </si>
  <si>
    <t>&gt; 2</t>
  </si>
  <si>
    <t>&gt; 1</t>
  </si>
  <si>
    <t>IMPIANTO</t>
  </si>
  <si>
    <t>Onorari centrale</t>
  </si>
  <si>
    <t>Onorari distribuzione</t>
  </si>
  <si>
    <t>Condotte per rete di teleriscaldamento</t>
  </si>
  <si>
    <t>Elettrofiltro</t>
  </si>
  <si>
    <t>Stazioni di ripompaggio</t>
  </si>
  <si>
    <t>Utente</t>
  </si>
  <si>
    <t>Sottostazioni - accessori</t>
  </si>
  <si>
    <t>Rete</t>
  </si>
  <si>
    <t>Attualizzazione</t>
  </si>
  <si>
    <t>Tasso di attualizzazione</t>
  </si>
  <si>
    <t>Attività del progetto</t>
  </si>
  <si>
    <t>Uscite</t>
  </si>
  <si>
    <t>Investimenti nuovi e di sostituzione</t>
  </si>
  <si>
    <t>[CHF/a]</t>
  </si>
  <si>
    <t>[CHF]</t>
  </si>
  <si>
    <t>Totale uscite per anno</t>
  </si>
  <si>
    <t>Sussidi di terzi (Cantone, Confederazione)</t>
  </si>
  <si>
    <t>Totale entrate per anno</t>
  </si>
  <si>
    <t>Present Value del cash flow</t>
  </si>
  <si>
    <t>Present Value del cash flow, cumulativo</t>
  </si>
  <si>
    <t>Provisorische Interne Berechung Restwert Investition Fernwärme (wird unsichtbar)</t>
  </si>
  <si>
    <t>Centrale</t>
  </si>
  <si>
    <t>Altri costi</t>
  </si>
  <si>
    <t>Personale</t>
  </si>
  <si>
    <t xml:space="preserve">Entrate </t>
  </si>
  <si>
    <t>Ricavi medi abbonamenti</t>
  </si>
  <si>
    <t>Redditività del progetto senza incentivi</t>
  </si>
  <si>
    <t xml:space="preserve">Net Present Value (valore attuale) </t>
  </si>
  <si>
    <t>REDDITIVITA' DEL PROGETTO</t>
  </si>
  <si>
    <t>Redditività del progetto con incentivi</t>
  </si>
  <si>
    <t xml:space="preserve">Distribuzione calore </t>
  </si>
  <si>
    <t>Cash flow</t>
  </si>
  <si>
    <t xml:space="preserve">Produzione calore </t>
  </si>
  <si>
    <t xml:space="preserve">Cogenerazione </t>
  </si>
  <si>
    <t xml:space="preserve">Cash flow incl. Incentivi </t>
  </si>
  <si>
    <t>A1</t>
  </si>
  <si>
    <t>A2</t>
  </si>
  <si>
    <t>A3</t>
  </si>
  <si>
    <t>A4</t>
  </si>
  <si>
    <t>A5</t>
  </si>
  <si>
    <t>A6</t>
  </si>
  <si>
    <t>[anni]</t>
  </si>
  <si>
    <t xml:space="preserve"> Dati tecnici e stima domanda</t>
  </si>
  <si>
    <t>Potenza termica fornita dal generatore di calore 1</t>
  </si>
  <si>
    <t>Potenza termica fornita dal generatore di calore 2</t>
  </si>
  <si>
    <t>CLA (se presente una PdC)</t>
  </si>
  <si>
    <t>Edifici da servire - residenziali</t>
  </si>
  <si>
    <t>Edifici da servire - non residenziali</t>
  </si>
  <si>
    <t>Valore residuo dopo 30 anni</t>
  </si>
  <si>
    <t>Onorari progettisti</t>
  </si>
  <si>
    <t>Assicurazione, costi diversi</t>
  </si>
  <si>
    <t>Importante l'inserimento della lunghezza del tracciato (da considerare i metri di scavo, quindi NON andata + ritorno)</t>
  </si>
  <si>
    <t>Il fabbisogno totale di calore degli utenti corrisponde al fabbisogno termico delle utenze (riscaldamento e ACS). Inserire il valore complessivo previsto, eventuali aggiustamenti negli anni verrano prefezionati nel foglio "BusinessPlan"</t>
  </si>
  <si>
    <t>Il fabbisogno di potenza termica corrisponde alla somma dei fabbisogni delle singole utenze, verranno previsti nelle celle successive aggiustamenti e integrazioni con la rete (contemporaneità, perdite termiche di rete,..)</t>
  </si>
  <si>
    <t>In questo riquadro non si inserisce ancora la potenza termica installata in centrale!</t>
  </si>
  <si>
    <t>Per ulteriori chiarimenti, leggere i commenti sulle singole celle</t>
  </si>
  <si>
    <t>È possibile inserire fino a 3 generatori di calore differenti</t>
  </si>
  <si>
    <t>Per tutti gli altri rendimenti dei singoli generatori di calore (caldaie a combustione) verranno inseriti in un successivo foglio ("Vettori energetici")</t>
  </si>
  <si>
    <t>Dati tecnici - Cogenerazione</t>
  </si>
  <si>
    <t>B1</t>
  </si>
  <si>
    <t>B2</t>
  </si>
  <si>
    <t>Verificare che i poteri calorifici proposti per i combustibili corrispondono al caso studiato</t>
  </si>
  <si>
    <t>B3</t>
  </si>
  <si>
    <t xml:space="preserve">Verificare che i prezzi proposti di acquisto e di vendita dell'energia elettrica corrispondono al caso studiato. </t>
  </si>
  <si>
    <t>Energia elettrica consumata dall'impianto (componenti ausiliari, ecc.)</t>
  </si>
  <si>
    <t>Energia termica prodotta annualmente dall'impianto</t>
  </si>
  <si>
    <t>Energia termica prodotta dal generatore di calore 1</t>
  </si>
  <si>
    <t>Energia termica prodotta dal generatore di calore 3</t>
  </si>
  <si>
    <t>Nel caso di impianti a combustione è necessario inserire il valore di energia prodotta dentro la cella corrispondente tra F18 e F22 - si consiglia di inserire un collegamento con D7 e/o D8 e/o D9. Nel caso di pompe di calore non è necessario inserire collegamenti, verificare solamente il costo dell'energia elettrica</t>
  </si>
  <si>
    <t>HELP</t>
  </si>
  <si>
    <t>Nr clienti totali/km di rete</t>
  </si>
  <si>
    <t>Nr clienti non residenziali/km di rete</t>
  </si>
  <si>
    <t>Nr clienti residenziali/km di rete</t>
  </si>
  <si>
    <t>Generatore di calore secondario</t>
  </si>
  <si>
    <t>Generatore di calore principale (no opere civili)</t>
  </si>
  <si>
    <t>300 -- 700</t>
  </si>
  <si>
    <t>Costo totale rete (complessivo con onorari)/energia distribuita</t>
  </si>
  <si>
    <t>Sottostazioni - telegestione impianti elettrici</t>
  </si>
  <si>
    <t>Impiantistica per la distribuzione</t>
  </si>
  <si>
    <t>Consumi elettrici secondari del generatore di calore 1</t>
  </si>
  <si>
    <t>Consumi elettrici secondari del generatore di calore 2</t>
  </si>
  <si>
    <t>Consumi elettrici secondari del generatore di calore 3</t>
  </si>
  <si>
    <t>Energia elettrica pompe di circolazione</t>
  </si>
  <si>
    <t>Energia elettrica stazione di ripompaggio</t>
  </si>
  <si>
    <t>Consumo complessivo di energia elettrica</t>
  </si>
  <si>
    <t>Generatore di calore</t>
  </si>
  <si>
    <t>Nel caso di una pompa di calore, è richiesto di inserire un valore attendibile di CLA (da cui ne dipende il consumo elettrico nella cella D50)</t>
  </si>
  <si>
    <t>I1</t>
  </si>
  <si>
    <t>I2</t>
  </si>
  <si>
    <t>I3</t>
  </si>
  <si>
    <t>I4</t>
  </si>
  <si>
    <t>I5</t>
  </si>
  <si>
    <t>S1</t>
  </si>
  <si>
    <t>I7</t>
  </si>
  <si>
    <t>I6</t>
  </si>
  <si>
    <t>P1</t>
  </si>
  <si>
    <t>C1</t>
  </si>
  <si>
    <t>C2</t>
  </si>
  <si>
    <t>C3</t>
  </si>
  <si>
    <t>C4</t>
  </si>
  <si>
    <t>C5</t>
  </si>
  <si>
    <t>C6</t>
  </si>
  <si>
    <t>Impianto</t>
  </si>
  <si>
    <t>R1</t>
  </si>
  <si>
    <t>R2</t>
  </si>
  <si>
    <t>R3</t>
  </si>
  <si>
    <t>R4</t>
  </si>
  <si>
    <t>Ricavi</t>
  </si>
  <si>
    <t>Prezzi e ricavi</t>
  </si>
  <si>
    <t>T1</t>
  </si>
  <si>
    <t>Indicatori tecnici</t>
  </si>
  <si>
    <t>Prezzo di vendita energia elettrica da cogenerazione</t>
  </si>
  <si>
    <t>Tassa allacciamento utenti (una tantum)</t>
  </si>
  <si>
    <t>Costo annuo degli abbonamenti</t>
  </si>
  <si>
    <t>R5</t>
  </si>
  <si>
    <t>Ricavi annuali</t>
  </si>
  <si>
    <t>Incidenza costi investimenti</t>
  </si>
  <si>
    <t>Incidenza costi diversi</t>
  </si>
  <si>
    <t>E1</t>
  </si>
  <si>
    <t>E2</t>
  </si>
  <si>
    <t>Costo totale rete (complessivo, compreso stacchi)/metri di scavi</t>
  </si>
  <si>
    <t>Costo totale rete (tubazioni, compreso stacchi)/metri di scavi</t>
  </si>
  <si>
    <t>Condotte per lo stacco a confine</t>
  </si>
  <si>
    <t>Lavori per la diramazione a confine</t>
  </si>
  <si>
    <t>Indicatori economici</t>
  </si>
  <si>
    <t>Indicatori ambientali</t>
  </si>
  <si>
    <t>Business plan</t>
  </si>
  <si>
    <t>P2</t>
  </si>
  <si>
    <t>P3</t>
  </si>
  <si>
    <t>P4</t>
  </si>
  <si>
    <t>P5</t>
  </si>
  <si>
    <t>P6</t>
  </si>
  <si>
    <t>P7</t>
  </si>
  <si>
    <t>P8</t>
  </si>
  <si>
    <t>P9</t>
  </si>
  <si>
    <t>P10</t>
  </si>
  <si>
    <t>P11</t>
  </si>
  <si>
    <t>P12</t>
  </si>
  <si>
    <t>P13</t>
  </si>
  <si>
    <t>P14</t>
  </si>
  <si>
    <t>P15</t>
  </si>
  <si>
    <t>P16</t>
  </si>
  <si>
    <t>P17</t>
  </si>
  <si>
    <t xml:space="preserve"> - Tutte le celle gialle ritenute non importanti, per le quali non si conosce o non è presente un valore, inserire un corrispondente nullo ("0" zero).</t>
  </si>
  <si>
    <t xml:space="preserve"> - Le celle gialle sono da compilare da parte dell'utilizzatore.</t>
  </si>
  <si>
    <t xml:space="preserve"> - Compilare i fogli da sinistra verso destra (es: Dati tecnici e stima domanda --&gt; Vettori energetici --&gt; Investimenti --&gt; …)</t>
  </si>
  <si>
    <t xml:space="preserve"> - Se presenti, leggere attentamente i commenti direttamente sulle celle. Sono inoltre presenti anche alcuni collegamenti di "help"</t>
  </si>
  <si>
    <t>PARCO UTENZE</t>
  </si>
  <si>
    <t>Potenza termica  fornita dal generatore di calore 3</t>
  </si>
  <si>
    <t>Fabbisogno complessivo di potenza termica</t>
  </si>
  <si>
    <t>PRODUZIONE DI CALORE</t>
  </si>
  <si>
    <t>quantità</t>
  </si>
  <si>
    <t>costo unitario</t>
  </si>
  <si>
    <t>Indicatori energetici primari</t>
  </si>
  <si>
    <t>CHF</t>
  </si>
  <si>
    <t>COSTI ANNUALI</t>
  </si>
  <si>
    <t>CONDIZIONI ECONOMICHE</t>
  </si>
  <si>
    <t>Prezzi di vendita del calore</t>
  </si>
  <si>
    <t>Prezzo abbonamenti (annuo)</t>
  </si>
  <si>
    <t>Prezzo di vendita dell'energia elettrica da cogenerazione</t>
  </si>
  <si>
    <t>Tutti gli altri dati vengono esclusivamante utilizzati per calcolare indici tecnici ed economici</t>
  </si>
  <si>
    <t>Se alcuni valori non sono noti, è possibile inserire un valore nullo nell'apposita cella</t>
  </si>
  <si>
    <t>Superficie di territorio analizzata</t>
  </si>
  <si>
    <t>Superficie di territorio analizzata: i modi per calcolare questa superficie sono numerosi e soggettivi. La superficie corrisponde comunque, in linea di massima alla somma delle aree di particelle con tutte le case potenzialmente teleriscaldabili nella zona studiata.</t>
  </si>
  <si>
    <t>Questi valori, basati sull'esperienza e sulla letteratura, permettono di avere già fin da subito una prima valutazione preliminare sul progetto (gli indicatori verrano poi ripresi ed integrati più avanti nei fogli "Indicatori economici" e "Indicatori tecnici")</t>
  </si>
  <si>
    <t>Gli eventuali consumi elettrici dovuti al funzionamento della pompa di calore sono calcolati in automatico sulla base del CLA precedentemente inserito ("centrale termica")</t>
  </si>
  <si>
    <t>Se alcuni di questi valori sono ritenuti non importanti per una prima analisi, inserire dei valori nulli.</t>
  </si>
  <si>
    <t>Proposta di calcolo per stimare la volumetria necessaria per lo stoccaggio del cippato. Modificando i collegamenti e le formule, è possibile estendere questo calcolo anche ad altri vettori.</t>
  </si>
  <si>
    <t>A seconda che il generatore di calore a cippato sia stato inserito con il numero 1 - 2 o 3, inserire tale numero corrispondente anche nella cella P20</t>
  </si>
  <si>
    <t>Scavo, posa e ripristino per le condotte interrate</t>
  </si>
  <si>
    <t>ONORARI</t>
  </si>
  <si>
    <t>COSTI DIVERSI</t>
  </si>
  <si>
    <t>Costo unitario del personale</t>
  </si>
  <si>
    <t>RIPARTIZIONE ANNUALE COSTI</t>
  </si>
  <si>
    <t>Altri costi annuali</t>
  </si>
  <si>
    <t>specif.</t>
  </si>
  <si>
    <t>…</t>
  </si>
  <si>
    <t>La tabella "Riassunto Consumi energetici" riprende i valori di energia termica prodotta dai generatori di calore, e l'energia elettrica consumata dall'impianto</t>
  </si>
  <si>
    <t>Onorari: inserire dei valori in percentuale.Sono sudddivisi in onorari per la centrale termica, e onorari per rete di distribuzione.</t>
  </si>
  <si>
    <t>le voci di costo sono raggruppate nelle principali categorie. Se neccessario accorpare sotto la stessa voce costi più dettagliati</t>
  </si>
  <si>
    <t>COGENERAZIONE ELETTRICA</t>
  </si>
  <si>
    <t>Distribuzione calore</t>
  </si>
  <si>
    <t>Per distribuzione del calore si intende tutto quel che è al di fuori della centrale termica. Comprende quindi sia la rete di tubazioni che l'impiantistica presso le utenze.</t>
  </si>
  <si>
    <t>Per poter conoscere quanto siano sensibili sul'investimento complessivo i costi legati all'acciamento dell'utente, è possibile inserire o meno costi</t>
  </si>
  <si>
    <t>Una stima dei costi di manutenzione annuali è fatta inserendo una percentuale su ogni voce di costo (colonna H)</t>
  </si>
  <si>
    <t>Dei costi assicurativi annuali possono essere inseriti e previsti nel calcolo. Costi diversi possono anche essere presi in considerazione (tassa sul clima, tassa sull'elettricità, ecc)</t>
  </si>
  <si>
    <t>PERSONALE</t>
  </si>
  <si>
    <t>È possibile considerare nei calcoli economici anche il costo fisso annuale dovuto al personale impiegato.</t>
  </si>
  <si>
    <t>Tale costo è indipendente dai valori stimati per la manutenzione annuale; attenzione quindi a non considerarli due volte</t>
  </si>
  <si>
    <t>Inserire la retribuzione media lorda annuale a seconda della funzione, e quindi il numero di persone impiegate per ogni funzione</t>
  </si>
  <si>
    <t>Numero di persone impiegate</t>
  </si>
  <si>
    <t>cogenerazione (gas metano), elettricità (kWhel)</t>
  </si>
  <si>
    <t>cogenerazione (gas metano), termica (kWhth)</t>
  </si>
  <si>
    <t>Primärenergiefaktoren von Energiesystemen - v.2.2, Stand 2014</t>
  </si>
  <si>
    <t>Superficie di riferimento energetico complessiva (SRE)</t>
  </si>
  <si>
    <t>Lunghezza complessiva rete</t>
  </si>
  <si>
    <t>Lunghezza rete principale</t>
  </si>
  <si>
    <t>Lunghezza diramazioni secondarie</t>
  </si>
  <si>
    <t>Perdite dell'impiantistica in centrale termica</t>
  </si>
  <si>
    <t>Notare che la cella D28 non si riferisce al rendimento del generatore di calore bensì all'impiantistica della centrale. Sono infatti una stima della perdite impiantistiche quali scambiatori di calore, tubazioni, stoccaggi, ecc. La percentuale corrisponde al rapporto tra energia persa e l'energia prodotta.</t>
  </si>
  <si>
    <t>Inserire i principali consumi elettrici; si possono quindi stimare i consumi elettrici secondari necessari al funzionamento dei generatori di calore, sia quelli necessari a movimentare il fluido termovettore nella rete</t>
  </si>
  <si>
    <t>Quota ammortamenti</t>
  </si>
  <si>
    <t>Capitali impiegati</t>
  </si>
  <si>
    <t>Capitale proprio</t>
  </si>
  <si>
    <t>Capitale di terzi</t>
  </si>
  <si>
    <t>Remunerazione</t>
  </si>
  <si>
    <t>Onere figurativo annuo</t>
  </si>
  <si>
    <t>Durata prestito</t>
  </si>
  <si>
    <t>nr. Anni</t>
  </si>
  <si>
    <t>Nr. Anni</t>
  </si>
  <si>
    <t>finanziari</t>
  </si>
  <si>
    <t>Oneri finanziari/anno</t>
  </si>
  <si>
    <t>Costo del capitale   (CHF/a)</t>
  </si>
  <si>
    <t>Onorari professionali</t>
  </si>
  <si>
    <t xml:space="preserve">Ammortamenti </t>
  </si>
  <si>
    <t>Ammortamenti</t>
  </si>
  <si>
    <t>Costo del capitale</t>
  </si>
  <si>
    <t xml:space="preserve">DISTRIBUZIONE CALORE </t>
  </si>
  <si>
    <t>Oneri finanziari e amm.to mutuo/anno</t>
  </si>
  <si>
    <t>Onere figurativo annuo/amm.to</t>
  </si>
  <si>
    <t>Di terzi</t>
  </si>
  <si>
    <t>Proprio</t>
  </si>
  <si>
    <t>Ammortamenti e interessi/calore prodotto</t>
  </si>
  <si>
    <t>Ammortamenti e interessi distribuzione/ml</t>
  </si>
  <si>
    <t>Ammortamenti e interessi/costi totali</t>
  </si>
  <si>
    <t>Ammortamenti e interessi opere civili/ammortamenti e interessi totali</t>
  </si>
  <si>
    <t>ONORARI E ALTRI COSTI</t>
  </si>
  <si>
    <t xml:space="preserve">TOTALE </t>
  </si>
  <si>
    <t>Onorari  e altri costi</t>
  </si>
  <si>
    <t>Occorre precisare la percentuale di fondi propri a livello di fonti di finanziamento del complesso degli investimenti. La percentuale relativa al capitale di terzi sarà calcolata automaticamente come differenza rispetto al totale.</t>
  </si>
  <si>
    <t>Tasso remunerazione capitale proprio: rappresenta la percentuale di remunerazione che si intende ottenere sul capitale proprio investito nel progetto. E' pari a 0% qualora non si intenda conseguire alcun ritorno. Se si intende ottenere anche il rimborso del capitale inserire il numero di anni relativo alla durata dell'investimento. La ripartizione della quota complessiva di oneri finanziari calcolati a livello di singole tipologie di costo per ciascuna delle fasi considerate (produzione e distribuzione) viene fatta secondo una logica di ponderazione, dove il peso é dato dal rapporto tra il costo complessivo per il costo in questione e il totale dei costi di investimento.</t>
  </si>
  <si>
    <t>Tasso di interesse annuo del capitale: la norma SIA 480 indica di usare un valore del 3-3.5%, di ridurre dello 0.5% se l'investimento è fatto dal comune e del 1% se l'investimento è fatto dalla confederazione. In ogni caso è opportuno usare come benchmark per il confronto il tasso praticato dai principali istituti di credito per finanziamenti analoghi. La ripartizione della quota complessiva di oneri finanziari calcolati a livello di singole tipologie di costo per ciascuna delle fasi considerate (produzione e distribuzione) viene fatta secondo una logica di ponderazione, dove il peso é dato dal rapporto tra il costo complessivo per il costo in questione e il totale dei costi di investimento.</t>
  </si>
  <si>
    <t>FONTI DI FINANZIAMENTO</t>
  </si>
  <si>
    <t>Il presente foglio riassume e valuta il costo unitario di produzione del calore (CHF/kWh)</t>
  </si>
  <si>
    <t>Gli incentivi sono suddivisi in cantonali, federali, altri (ad es: comunali, fondazioni, aziende elettriche, ecc.). Essi vengono di norma versati in un'unica soluzione all'inizio del progetto. Al fine di calcolare il costo economico unitario di produzione si é ritenuto opportuno ripartirli secondo un criterio di annualità.</t>
  </si>
  <si>
    <t xml:space="preserve">Costo di produzione unitario </t>
  </si>
  <si>
    <t>Costo di produzione unitario al netto di contributi pubblici</t>
  </si>
  <si>
    <t>Riporta le quote annue delle varie tipologie di costo per la fase del servizio in questione.</t>
  </si>
  <si>
    <t>Riporta le quote annue delle varie tipologie di costo non riconducibili ai punti precedenti.</t>
  </si>
  <si>
    <t>Viene calcolato rapportando i costi operativi complessivi per l'anno al totale della produzione prevista per il medesimo periodo. I costi comprendono - in detrazione - la quota annua dei sussidi pubblici.</t>
  </si>
  <si>
    <t>Prezzo di vendita del calore</t>
  </si>
  <si>
    <t>E' il prezzo unitario di vendita del calore prodotto. Se superiore al costo unitario di produzione include un mark up. Potrebbe anche coincidere col costo di produzione o addirittura essere inferiore in presenza di consistenti ricavi legati alla presenza di abbonamenti annui (tariffa a due parti, fissa piu' variabile). In ogni caso rappresenta il principale indicatore di redditività della gestione.</t>
  </si>
  <si>
    <t>E' il prezzo unitario di vendita dell'energia elettrica prodotta in presenza di cogenerazione.</t>
  </si>
  <si>
    <t>E' una tassa pagata in occasione all'allacciamento alla rete di teleriscaldamento. Viene corrisposta una volta tantum.</t>
  </si>
  <si>
    <t>E' la quota fissa della tariffa a due parti, viene pagata come canone annuo a prescindere dall'effettivo consumo di calore.</t>
  </si>
  <si>
    <t>E' la somma del complesso dei ricavi di gestione annui conseguibili attraverso la vendita di calore ed energia elettrica.</t>
  </si>
  <si>
    <t>Indicatori in grado di fornire informazioni utili sulla struttura dei costi con riferimento all'output prodotto, sulla rilevanza dei ricavi e sul peso degli incentivi. L'analisi è condotta per singola fase della filiera e per singola tipologia di costo.</t>
  </si>
  <si>
    <t>Indicatori di efficienza con riferimento ai costi totali per singola fase del servizio.</t>
  </si>
  <si>
    <t>Si richiede di precisare la dinamica temporale del costo del personale (in termini monetari) per gli anni successivi al primo, al fine di considerare eventuali variazioni nell'organico aziendale.</t>
  </si>
  <si>
    <t>E' possibile inserire costi diversi dai precedenti per gli anni successivi al primo.</t>
  </si>
  <si>
    <t>Permette l'inserimento di un eventuale valore residuo al termine dell'orizzonte temporale considerato per gli investimenti realizzati, distinto tra centrale e distribuzione.</t>
  </si>
  <si>
    <t>Somma delle uscite per l'anno considerato.</t>
  </si>
  <si>
    <t>Entrate</t>
  </si>
  <si>
    <t>Presenta la dinamica temporale dei ricavi di vendita del calore prodotto; per gli anni successivi al primo i valori sono calcolati con riferimento alla variazione delle utenze allacciate e alla variazione di prezzo.</t>
  </si>
  <si>
    <t>Presenta la dinamica temporale dei ricavi di vendita dell'energia elettrica podottoa; per gli anni successivi al primo i valori sono calcolati con riferimento alla variazione delle utenze allacciate e alla variazione di prezzo.</t>
  </si>
  <si>
    <t>Per gli anni successivi al primo è possibile prevedere delle variazioni percentuali del prezzo di vendita del calore prodotto.</t>
  </si>
  <si>
    <t>Riassume le entrate relative alla fruizione di sussidi pubblici; essendo incassate una tantum, sono computate tra i ricavi solo per il primo anno.</t>
  </si>
  <si>
    <t>Ricavi da vendite di calore / entrate ricorrenti</t>
  </si>
  <si>
    <t>Ricavi da vendite di energia elettrica</t>
  </si>
  <si>
    <t>Redditività senza incentivi</t>
  </si>
  <si>
    <t>Presenta per ciascun anno il valore dei flussi di cassa operativi originati dalla gestione caratteristica, quindi al lordo dei dividendi e degli oneri finanziari (unlevered cash flows).</t>
  </si>
  <si>
    <t>Calcola il valore attuale dei flussi di cassa operativi con riferimento a ciascun anno. In termini operativi, "sconta" o meglio attualizza i flussi di cassa annui secondoil tasso di sconto utilizzato.</t>
  </si>
  <si>
    <t>Somma progressiva (cumulata) dei flussi di cassa operativi.</t>
  </si>
  <si>
    <t>Valore attuale netto: valore attuale (al tempo in cui si intraprende il progetto) dei flussi di cassa sulla base del tasso di sconto. Se l'investimento é conveniente la ricchezza finale nel caso in cui si intraprenda l'investimento deve essere superiore alla ricchezza finale rispetto al caso in cui non si intraprenda l'investimento; tale convenienza attesa si deduce dalla positività del risultato.</t>
  </si>
  <si>
    <t>TIR, Tasso Interno di Rendimento del progetto: è un indice di redditività finanziaria dei flussi monetari. In caso di investimento rappresenta il tasso composto annuale di ritorno effettivo che questo genera; in termini tecnici è il rendimento di un investimento.</t>
  </si>
  <si>
    <t>Redditività con incentivi</t>
  </si>
  <si>
    <t>Presenta i valori relativi ai flussi di cassa, al valore attuale netto e al TIR computando tra i ricavi anche gli incentivi pubblici.</t>
  </si>
  <si>
    <t>La densità termica è la quantità di energia termica presente sul territorio (densità termica del territorio, ad esempio in kWh/km2) oppure la quantità di energia fornita per metro lineare di tracciato (densità termica della rete, tipicamente kWh/m).</t>
  </si>
  <si>
    <t>Densità termica del territorio</t>
  </si>
  <si>
    <t>Densità termica della rete</t>
  </si>
  <si>
    <t>Inserire i principali dati energetici riguardanti un impianto cogenerativo. Sono richiesti i valori di energia e potenza, per le componenti termica ed elettrica. Siccome i valori termici potrebbero già essere stati inseriti nella parte di "centrale termica", rimprendere semplicemente i valori.</t>
  </si>
  <si>
    <t>TOTALE POTENZA TERMICA INSTALLATA</t>
  </si>
  <si>
    <t>Autoconsumo elettrico</t>
  </si>
  <si>
    <t>Energia elettrica prodotta dall'impianto</t>
  </si>
  <si>
    <t>Condotte primarie</t>
  </si>
  <si>
    <t>Scavo, posa, ripristino</t>
  </si>
  <si>
    <t>stacco a confine (condotte e lavori)</t>
  </si>
  <si>
    <t>telegestione, impianto elettrico</t>
  </si>
  <si>
    <t>(kWh/a)/(kWh/a)</t>
  </si>
  <si>
    <t>(kWh/a)/m</t>
  </si>
  <si>
    <t>(kWha)/ut</t>
  </si>
  <si>
    <t>(kWh/a)/kW --&gt; h/a</t>
  </si>
  <si>
    <t>(kWh/a)/m2</t>
  </si>
  <si>
    <t>MW/km2</t>
  </si>
  <si>
    <t>(MWh/a)/m</t>
  </si>
  <si>
    <t>Indicatori di efficienza delle utenze</t>
  </si>
  <si>
    <t>remunerazione</t>
  </si>
  <si>
    <t>anni durata prestito</t>
  </si>
  <si>
    <t>TOTALE INVESTIMENTI (COMPLESSIVO onorari e altri costi)</t>
  </si>
  <si>
    <t>Ricavi annui</t>
  </si>
  <si>
    <t>I seguenti indicatori proposti hanno lo scopo di dare delle indicazioni sulle caratteristiche di fnzionamento e di copertura dei fabbisogni dell'impianto.</t>
  </si>
  <si>
    <t>Con l'esperienza e con la pratica ottenuta riempiendo nuovi impianti è possibile modificare oppurtunamente gli indici ed inserire intervalli ticipi consigliati.</t>
  </si>
  <si>
    <t>Gli indicatori ambientali qui calcolati (kg di CO2 emessa e fabbosogno di energia non rinnovabile consumata in kWh/a) sono stati calcolati utilizzando gli indici "Primärenergiefaktoren von Energiesystemen - v.2.2, Stand 2014".</t>
  </si>
  <si>
    <t>Investimenti - Fondi di finanziamento</t>
  </si>
  <si>
    <t>Altro 1</t>
  </si>
  <si>
    <t>Altro 2</t>
  </si>
  <si>
    <t xml:space="preserve">Specificare: </t>
  </si>
  <si>
    <t>Specificare:</t>
  </si>
  <si>
    <t>Investimento totale (CHF)</t>
  </si>
  <si>
    <t>Breve descrizione impianto:</t>
  </si>
  <si>
    <t>Localizzazione impianto:</t>
  </si>
  <si>
    <t>Variante (descrizione):</t>
  </si>
  <si>
    <t>Compilatore:</t>
  </si>
  <si>
    <t>Data:</t>
  </si>
  <si>
    <t>DATI DA COMPILARE</t>
  </si>
  <si>
    <t>Potenza termica in uscita dalla centrale termica</t>
  </si>
  <si>
    <t>Energia termica fornita alla rete</t>
  </si>
  <si>
    <t>Energia elettrica elettrofiltro</t>
  </si>
  <si>
    <t>Fabbisogno termico delle utenze/lunghezza rete</t>
  </si>
  <si>
    <t>Energia elettrica per riscaldamento (Pompe di calore)</t>
  </si>
  <si>
    <t>Consumi di energia elettrica</t>
  </si>
  <si>
    <t>Cogeneratore</t>
  </si>
  <si>
    <t>Nel caso di impianto cogenerativo, suddividere i costi tra "produzione calore" e "cogenerazione elettrica"</t>
  </si>
  <si>
    <t>Incentivi per investimento centrale</t>
  </si>
  <si>
    <t>Incentivi per investimento elettrofiltro</t>
  </si>
  <si>
    <t>Incentivi per investimento rete</t>
  </si>
  <si>
    <t>Incentivi per allacciamento utenti</t>
  </si>
  <si>
    <t>Costo unitario produzione calore (senza incentivi)</t>
  </si>
  <si>
    <t>Costo totale/potenza  installata (senza incentivi)</t>
  </si>
  <si>
    <t>Costo per le sottostazioni (scambiatore calore)/potenza installata</t>
  </si>
  <si>
    <t>Fabbisogno di energia non rinnovabile (kWh/a)</t>
  </si>
  <si>
    <t>Potenza termica richiesta dalle utenze</t>
  </si>
  <si>
    <t>Perdite per metro lineare</t>
  </si>
  <si>
    <t>Perdite di potenza nelle condotte</t>
  </si>
  <si>
    <t>Ore funzionamento (considerando regime nominale)</t>
  </si>
  <si>
    <t>Perdite di energia nelle condotte</t>
  </si>
  <si>
    <t>Consumi elettrici dovuti al funzionamento di PdC</t>
  </si>
  <si>
    <r>
      <t>Altro</t>
    </r>
    <r>
      <rPr>
        <sz val="10"/>
        <color indexed="8"/>
        <rFont val="Calibri"/>
        <family val="2"/>
      </rPr>
      <t xml:space="preserve"> (specificare a lato)</t>
    </r>
  </si>
  <si>
    <t>Potenza termica recuperabile dall'impianto</t>
  </si>
  <si>
    <t>Energia termica prodotta annualmente</t>
  </si>
  <si>
    <t>Potenza elettrica prodotta dall'impianto</t>
  </si>
  <si>
    <t>Energia elettrica prodotta annualmente</t>
  </si>
  <si>
    <t>Fattore di utilizzo annuo dell'impianto</t>
  </si>
  <si>
    <t>Rendimento elettrico</t>
  </si>
  <si>
    <t>Perdite termiche (camino, caldaia, ecc)</t>
  </si>
  <si>
    <t>Energia prodotta
kWh</t>
  </si>
  <si>
    <t>Rendimenti
di combustione</t>
  </si>
  <si>
    <t>Energia primaria
kWh</t>
  </si>
  <si>
    <t>Silos stoccaggio</t>
  </si>
  <si>
    <t>Giorni di autonomia</t>
  </si>
  <si>
    <t>Potenza [kW]</t>
  </si>
  <si>
    <t>Consumo [m3/h]</t>
  </si>
  <si>
    <t>Volume biomassa (m3)</t>
  </si>
  <si>
    <t>Durata</t>
  </si>
  <si>
    <t>Annualità incentivi
[CHF/a]</t>
  </si>
  <si>
    <t>Ricavo abbonamenti</t>
  </si>
  <si>
    <t>Vendita energia</t>
  </si>
  <si>
    <t>Tassa allacciamento</t>
  </si>
  <si>
    <t>Ripartizione ricavi annuali</t>
  </si>
  <si>
    <t>Costo condotte (materiale e posa) per ml</t>
  </si>
  <si>
    <t>Costo unitario distribuzione per metro lineare</t>
  </si>
  <si>
    <t>2'000 -- 4'000</t>
  </si>
  <si>
    <t>800 -- 1'700</t>
  </si>
  <si>
    <t>2'000 -- 5'000</t>
  </si>
  <si>
    <t>900 -- 2'000</t>
  </si>
  <si>
    <t>200 -- 1'000</t>
  </si>
  <si>
    <t>700 -- 1'300</t>
  </si>
  <si>
    <t>Percentuale di utenze allacciate</t>
  </si>
  <si>
    <t>Generatore di calore 1</t>
  </si>
  <si>
    <t>Generatore di calore 2</t>
  </si>
  <si>
    <t>Generatore di calore 3</t>
  </si>
  <si>
    <t>Incentivi rete/Nr utenze</t>
  </si>
  <si>
    <t>Incentivi rete/energia fornita</t>
  </si>
  <si>
    <t>Contributi allacciamento/Nr utenze</t>
  </si>
  <si>
    <t>Costo centrale termica (complessivo)/potenza installata</t>
  </si>
  <si>
    <t>Sottostazioni</t>
  </si>
  <si>
    <t>Emissioni di CO2 (kg/a)</t>
  </si>
  <si>
    <t>Prestazioni di terzi, materiale, ecc.</t>
  </si>
  <si>
    <t>Contributi di allacciamento / Entrate una tantum (annualizzate)</t>
  </si>
  <si>
    <t>Variazione del costo dell'energia elettrica acquistata rispetto all'anno "0"</t>
  </si>
  <si>
    <t>Variazione del costo del combustibile acquistato rispetto all'anno "0"</t>
  </si>
  <si>
    <t>Costi energetici (combustibile + energia elettrica)</t>
  </si>
  <si>
    <t>Variazione del prezzo di vendita del calore rispetto all'anno "0"</t>
  </si>
  <si>
    <t>Variazione prezzo di vendita energia elettrica rispetto all'anno "0"</t>
  </si>
  <si>
    <t>Riporta le quote annue relative al costo dei vettori energetici impiegati, incluo i costi di energia elettrica e dedotte le entrate derivanti dalla produzione di energia elettrica.</t>
  </si>
  <si>
    <t>Viene calcolato rapportando i costi operativi complessivi per l'anno al totale della produzione prevista per il medesimo periodo. Sono state considerate le entrate provenienti dalla produzione dell'energia elettrica. Non sono stati portati in detrazione dei costi i sussidi pubblici.</t>
  </si>
  <si>
    <t>Manutenzione centrale</t>
  </si>
  <si>
    <t xml:space="preserve">Manutenzione distribuzione calore </t>
  </si>
  <si>
    <t>COSTO DI PRODUZIONE UNITARIO DI CALORE</t>
  </si>
  <si>
    <t xml:space="preserve">COSTO DI PRODUZIONE UNITARIO DI CALORE AL NETTO DEI CONTRIBUTI PUBBLICI </t>
  </si>
  <si>
    <t>Si richiede di precisare  la dinamica temporale delle utenze allacciate (in termini percentuali) cosi' come le possibili variazioni annue (rispetto all'anno "0") del costo dei combustibili utilizzati (anche in questo caso in termini percentuali).</t>
  </si>
  <si>
    <t>Per gli anni successivi al primo è possibile prevedere delle variazioni percentuali (rispetto all'anno "0") del prezzo di vendita dell'energia elettrica prodotta.</t>
  </si>
  <si>
    <r>
      <t xml:space="preserve">Il tasso di attualizzazione è quel tasso d'interesse da impiegare per riportare all'attualità o "ad oggi", un capitale finanziario esigibile ad una certa data futura (o comunque un certo flusso di cassa futuro), in modo che quel capitale esigibile oggi sia finanziariamente equivalente al capitale esigibile in data futura. La misura di questo tasso è di norma pari al </t>
    </r>
    <r>
      <rPr>
        <sz val="11"/>
        <color theme="1"/>
        <rFont val="Calibri"/>
        <family val="2"/>
        <scheme val="minor"/>
      </rPr>
      <t>rendimento offerto da attività finanziarie prive di rischio a scadenza non breve. Generalmente vengono impiegati i rendimenti offerti dai Titoli di Stato con scadenze superiori ai tre anni.</t>
    </r>
  </si>
  <si>
    <t>Versione 30.11.2016</t>
  </si>
  <si>
    <t>Energia termica prodotta dal generatore di calore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</si>
</sst>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00"/>
    <numFmt numFmtId="165" formatCode="_ * #,##0.000_ ;_ * \-#,##0.000_ ;_ * &quot;-&quot;??_ ;_ @_ "/>
    <numFmt numFmtId="166" formatCode="_ * #,##0_ ;_ * \-#,##0_ ;_ * &quot;-&quot;??_ ;_ @_ "/>
    <numFmt numFmtId="167" formatCode="0.0%"/>
    <numFmt numFmtId="168" formatCode="0.0"/>
    <numFmt numFmtId="169" formatCode="#,##0.0"/>
  </numFmts>
  <fonts count="48" x14ac:knownFonts="1">
    <font>
      <sz val="11"/>
      <color theme="1"/>
      <name val="Calibri"/>
      <family val="2"/>
      <scheme val="minor"/>
    </font>
    <font>
      <sz val="11"/>
      <color indexed="8"/>
      <name val="Calibri"/>
      <family val="2"/>
    </font>
    <font>
      <b/>
      <sz val="11"/>
      <color indexed="8"/>
      <name val="Calibri"/>
      <family val="2"/>
    </font>
    <font>
      <b/>
      <sz val="10"/>
      <color indexed="8"/>
      <name val="Calibri"/>
      <family val="2"/>
    </font>
    <font>
      <sz val="10"/>
      <color indexed="8"/>
      <name val="Calibri"/>
      <family val="2"/>
    </font>
    <font>
      <b/>
      <sz val="10.5"/>
      <color indexed="8"/>
      <name val="Calibri"/>
      <family val="2"/>
    </font>
    <font>
      <sz val="10.5"/>
      <color indexed="8"/>
      <name val="Calibri"/>
      <family val="2"/>
    </font>
    <font>
      <b/>
      <i/>
      <sz val="10.5"/>
      <color indexed="8"/>
      <name val="Calibri"/>
      <family val="2"/>
    </font>
    <font>
      <sz val="9"/>
      <color indexed="81"/>
      <name val="Tahoma"/>
      <family val="2"/>
    </font>
    <font>
      <b/>
      <sz val="9"/>
      <color indexed="81"/>
      <name val="Tahoma"/>
      <family val="2"/>
    </font>
    <font>
      <b/>
      <sz val="11"/>
      <color indexed="8"/>
      <name val="Calibri"/>
      <family val="2"/>
    </font>
    <font>
      <sz val="11"/>
      <color indexed="8"/>
      <name val="Calibri"/>
      <family val="2"/>
    </font>
    <font>
      <i/>
      <sz val="11"/>
      <color indexed="8"/>
      <name val="Calibri"/>
      <family val="2"/>
    </font>
    <font>
      <i/>
      <sz val="10"/>
      <color indexed="8"/>
      <name val="Calibri"/>
      <family val="2"/>
    </font>
    <font>
      <b/>
      <sz val="10"/>
      <color indexed="9"/>
      <name val="Calibri"/>
      <family val="2"/>
    </font>
    <font>
      <b/>
      <i/>
      <sz val="10"/>
      <color indexed="8"/>
      <name val="Calibri"/>
      <family val="2"/>
    </font>
    <font>
      <sz val="10"/>
      <color indexed="9"/>
      <name val="Calibri"/>
      <family val="2"/>
    </font>
    <font>
      <i/>
      <sz val="10"/>
      <color indexed="9"/>
      <name val="Calibri"/>
      <family val="2"/>
    </font>
    <font>
      <b/>
      <sz val="11"/>
      <color indexed="10"/>
      <name val="Calibri"/>
      <family val="2"/>
    </font>
    <font>
      <sz val="11"/>
      <color indexed="10"/>
      <name val="Calibri"/>
      <family val="2"/>
    </font>
    <font>
      <i/>
      <sz val="10.5"/>
      <color indexed="8"/>
      <name val="Calibri"/>
      <family val="2"/>
    </font>
    <font>
      <b/>
      <i/>
      <sz val="12"/>
      <color indexed="8"/>
      <name val="Calibri"/>
      <family val="2"/>
    </font>
    <font>
      <b/>
      <i/>
      <u/>
      <sz val="14"/>
      <color indexed="8"/>
      <name val="Calibri"/>
      <family val="2"/>
    </font>
    <font>
      <b/>
      <sz val="12"/>
      <color indexed="8"/>
      <name val="Calibri"/>
      <family val="2"/>
    </font>
    <font>
      <sz val="10"/>
      <color indexed="8"/>
      <name val="Arial"/>
      <family val="2"/>
    </font>
    <font>
      <sz val="9"/>
      <color indexed="8"/>
      <name val="Arial"/>
      <family val="2"/>
    </font>
    <font>
      <b/>
      <sz val="9"/>
      <color indexed="8"/>
      <name val="Arial"/>
      <family val="2"/>
    </font>
    <font>
      <b/>
      <sz val="9"/>
      <name val="Arial"/>
      <family val="2"/>
    </font>
    <font>
      <sz val="9"/>
      <name val="Arial"/>
      <family val="2"/>
    </font>
    <font>
      <sz val="9"/>
      <color indexed="8"/>
      <name val="Calibri"/>
      <family val="2"/>
    </font>
    <font>
      <i/>
      <sz val="9"/>
      <color indexed="8"/>
      <name val="Arial"/>
      <family val="2"/>
    </font>
    <font>
      <b/>
      <sz val="10"/>
      <color indexed="62"/>
      <name val="Arial"/>
      <family val="2"/>
    </font>
    <font>
      <b/>
      <sz val="9"/>
      <color indexed="62"/>
      <name val="Arial"/>
      <family val="2"/>
    </font>
    <font>
      <b/>
      <sz val="9"/>
      <color indexed="62"/>
      <name val="Calibri"/>
      <family val="2"/>
    </font>
    <font>
      <sz val="8"/>
      <name val="Calibri"/>
      <family val="2"/>
    </font>
    <font>
      <b/>
      <sz val="12"/>
      <color indexed="8"/>
      <name val="Calibri"/>
      <family val="2"/>
    </font>
    <font>
      <u/>
      <sz val="11"/>
      <color theme="10"/>
      <name val="Calibri"/>
      <family val="2"/>
      <scheme val="minor"/>
    </font>
    <font>
      <b/>
      <sz val="20"/>
      <color theme="1"/>
      <name val="Calibri"/>
      <family val="2"/>
      <scheme val="minor"/>
    </font>
    <font>
      <sz val="9"/>
      <color rgb="FF000000"/>
      <name val="Arial"/>
      <family val="2"/>
    </font>
    <font>
      <b/>
      <sz val="14"/>
      <color indexed="8"/>
      <name val="Calibri"/>
      <family val="2"/>
    </font>
    <font>
      <b/>
      <sz val="10"/>
      <color theme="1"/>
      <name val="Calibri"/>
      <family val="2"/>
      <scheme val="minor"/>
    </font>
    <font>
      <sz val="10"/>
      <color theme="1"/>
      <name val="Calibri"/>
      <family val="2"/>
      <scheme val="minor"/>
    </font>
    <font>
      <i/>
      <sz val="10"/>
      <color theme="1"/>
      <name val="Calibri"/>
      <family val="2"/>
      <scheme val="minor"/>
    </font>
    <font>
      <b/>
      <i/>
      <u/>
      <sz val="10"/>
      <color indexed="8"/>
      <name val="Calibri"/>
      <family val="2"/>
    </font>
    <font>
      <sz val="12"/>
      <color indexed="8"/>
      <name val="Calibri"/>
      <family val="2"/>
    </font>
    <font>
      <u/>
      <sz val="9"/>
      <color theme="10"/>
      <name val="Calibri"/>
      <family val="2"/>
      <scheme val="minor"/>
    </font>
    <font>
      <sz val="9"/>
      <color indexed="62"/>
      <name val="Arial"/>
      <family val="2"/>
    </font>
    <font>
      <b/>
      <i/>
      <sz val="11"/>
      <color indexed="8"/>
      <name val="Calibri"/>
      <family val="2"/>
    </font>
  </fonts>
  <fills count="23">
    <fill>
      <patternFill patternType="none"/>
    </fill>
    <fill>
      <patternFill patternType="gray125"/>
    </fill>
    <fill>
      <patternFill patternType="solid">
        <fgColor indexed="44"/>
        <bgColor indexed="64"/>
      </patternFill>
    </fill>
    <fill>
      <patternFill patternType="solid">
        <fgColor indexed="5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
      <patternFill patternType="solid">
        <fgColor indexed="49"/>
        <bgColor indexed="64"/>
      </patternFill>
    </fill>
    <fill>
      <patternFill patternType="solid">
        <fgColor indexed="43"/>
        <bgColor indexed="64"/>
      </patternFill>
    </fill>
    <fill>
      <patternFill patternType="solid">
        <fgColor indexed="30"/>
        <bgColor indexed="64"/>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indexed="26"/>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64"/>
      </patternFill>
    </fill>
    <fill>
      <patternFill patternType="solid">
        <fgColor theme="4" tint="0.39997558519241921"/>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64"/>
      </left>
      <right/>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medium">
        <color indexed="64"/>
      </bottom>
      <diagonal/>
    </border>
  </borders>
  <cellStyleXfs count="4">
    <xf numFmtId="0" fontId="0" fillId="0" borderId="0"/>
    <xf numFmtId="0" fontId="3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29">
    <xf numFmtId="0" fontId="0" fillId="0" borderId="0" xfId="0"/>
    <xf numFmtId="0" fontId="2" fillId="0" borderId="0" xfId="0" applyFont="1"/>
    <xf numFmtId="0" fontId="0" fillId="0" borderId="2" xfId="0" applyBorder="1"/>
    <xf numFmtId="0" fontId="0" fillId="2" borderId="2" xfId="0" applyFill="1" applyBorder="1"/>
    <xf numFmtId="0" fontId="0" fillId="0" borderId="2" xfId="0" applyFill="1" applyBorder="1"/>
    <xf numFmtId="0" fontId="0" fillId="0" borderId="0" xfId="0" applyBorder="1"/>
    <xf numFmtId="0" fontId="0" fillId="0" borderId="3" xfId="0" applyBorder="1"/>
    <xf numFmtId="0" fontId="3" fillId="0" borderId="0" xfId="0" applyFont="1"/>
    <xf numFmtId="0" fontId="4" fillId="0" borderId="0" xfId="0" applyFont="1" applyAlignment="1">
      <alignment horizontal="center"/>
    </xf>
    <xf numFmtId="0" fontId="4" fillId="0" borderId="0" xfId="0" applyFont="1"/>
    <xf numFmtId="0" fontId="4" fillId="0" borderId="2" xfId="0" applyFont="1" applyBorder="1"/>
    <xf numFmtId="0" fontId="4" fillId="0" borderId="2" xfId="0" applyFont="1" applyBorder="1" applyAlignment="1">
      <alignment horizontal="center"/>
    </xf>
    <xf numFmtId="0" fontId="4" fillId="0" borderId="3" xfId="0" applyFont="1" applyBorder="1"/>
    <xf numFmtId="0" fontId="0" fillId="0" borderId="4" xfId="0" applyBorder="1"/>
    <xf numFmtId="0" fontId="0" fillId="0" borderId="5" xfId="0" applyBorder="1"/>
    <xf numFmtId="0" fontId="0" fillId="0" borderId="17" xfId="0" applyBorder="1"/>
    <xf numFmtId="0" fontId="4" fillId="0" borderId="0" xfId="0" applyFont="1" applyFill="1" applyBorder="1"/>
    <xf numFmtId="0" fontId="4" fillId="0" borderId="0" xfId="0" applyFont="1" applyFill="1"/>
    <xf numFmtId="0" fontId="4" fillId="0" borderId="18" xfId="0" applyFont="1" applyBorder="1" applyAlignment="1">
      <alignment horizontal="center"/>
    </xf>
    <xf numFmtId="0" fontId="4" fillId="0" borderId="16" xfId="0" applyFont="1" applyBorder="1"/>
    <xf numFmtId="0" fontId="4" fillId="0" borderId="4" xfId="0" applyFont="1" applyBorder="1"/>
    <xf numFmtId="0" fontId="4" fillId="0" borderId="5" xfId="0" applyFont="1" applyBorder="1"/>
    <xf numFmtId="0" fontId="13" fillId="0" borderId="0" xfId="0" applyFont="1" applyBorder="1" applyAlignment="1">
      <alignment horizontal="center"/>
    </xf>
    <xf numFmtId="0" fontId="4" fillId="0" borderId="17" xfId="0" applyFont="1" applyBorder="1"/>
    <xf numFmtId="0" fontId="4" fillId="0" borderId="17" xfId="0" applyFont="1" applyBorder="1" applyAlignment="1">
      <alignment horizontal="center" wrapText="1"/>
    </xf>
    <xf numFmtId="0" fontId="14" fillId="3" borderId="19" xfId="0" applyFont="1" applyFill="1" applyBorder="1"/>
    <xf numFmtId="166" fontId="4" fillId="4" borderId="20" xfId="0" applyNumberFormat="1" applyFont="1" applyFill="1" applyBorder="1"/>
    <xf numFmtId="0" fontId="4" fillId="0" borderId="17" xfId="0" applyFont="1" applyBorder="1" applyAlignment="1">
      <alignment horizontal="center"/>
    </xf>
    <xf numFmtId="0" fontId="2" fillId="2" borderId="2" xfId="0" applyFont="1" applyFill="1" applyBorder="1"/>
    <xf numFmtId="0" fontId="2" fillId="2" borderId="25" xfId="0" applyFont="1" applyFill="1" applyBorder="1"/>
    <xf numFmtId="9" fontId="0" fillId="0" borderId="9" xfId="3" applyFont="1" applyBorder="1"/>
    <xf numFmtId="0" fontId="4" fillId="0" borderId="0" xfId="0" applyFont="1" applyBorder="1"/>
    <xf numFmtId="0" fontId="4" fillId="0" borderId="0" xfId="0" applyFont="1" applyBorder="1" applyAlignment="1">
      <alignment horizontal="center"/>
    </xf>
    <xf numFmtId="0" fontId="3" fillId="0" borderId="4" xfId="0" applyFont="1" applyBorder="1"/>
    <xf numFmtId="0" fontId="3" fillId="2" borderId="32" xfId="0" applyFont="1" applyFill="1" applyBorder="1"/>
    <xf numFmtId="166" fontId="3" fillId="2" borderId="7" xfId="0" applyNumberFormat="1" applyFont="1" applyFill="1" applyBorder="1" applyAlignment="1">
      <alignment horizontal="center"/>
    </xf>
    <xf numFmtId="0" fontId="4" fillId="0" borderId="18" xfId="0" applyFont="1" applyBorder="1"/>
    <xf numFmtId="0" fontId="3" fillId="0" borderId="25" xfId="0" applyFont="1" applyFill="1" applyBorder="1" applyAlignment="1">
      <alignment horizontal="center"/>
    </xf>
    <xf numFmtId="0" fontId="3" fillId="0" borderId="0" xfId="0" applyFont="1" applyFill="1" applyBorder="1" applyAlignment="1">
      <alignment horizontal="center"/>
    </xf>
    <xf numFmtId="0" fontId="3" fillId="0" borderId="16" xfId="0" applyFont="1" applyBorder="1"/>
    <xf numFmtId="9" fontId="4" fillId="0" borderId="21" xfId="0" applyNumberFormat="1" applyFont="1" applyBorder="1" applyAlignment="1">
      <alignment horizontal="center"/>
    </xf>
    <xf numFmtId="0" fontId="3" fillId="0" borderId="3" xfId="0" applyFont="1" applyBorder="1"/>
    <xf numFmtId="9" fontId="4" fillId="0" borderId="9" xfId="0" applyNumberFormat="1" applyFont="1" applyBorder="1" applyAlignment="1">
      <alignment horizontal="center"/>
    </xf>
    <xf numFmtId="9" fontId="4" fillId="0" borderId="10" xfId="0" applyNumberFormat="1" applyFont="1" applyBorder="1" applyAlignment="1">
      <alignment horizontal="center"/>
    </xf>
    <xf numFmtId="0" fontId="3" fillId="0" borderId="17" xfId="0" applyFont="1" applyBorder="1"/>
    <xf numFmtId="0" fontId="4" fillId="0" borderId="34" xfId="0" applyFont="1" applyBorder="1" applyAlignment="1">
      <alignment horizontal="center"/>
    </xf>
    <xf numFmtId="0" fontId="4" fillId="0" borderId="29" xfId="0" applyFont="1" applyBorder="1" applyAlignment="1">
      <alignment horizontal="center"/>
    </xf>
    <xf numFmtId="0" fontId="4" fillId="0" borderId="2" xfId="0" applyFont="1" applyBorder="1" applyAlignment="1">
      <alignment horizontal="left"/>
    </xf>
    <xf numFmtId="0" fontId="13" fillId="0" borderId="6" xfId="0" applyFont="1" applyBorder="1" applyAlignment="1">
      <alignment horizontal="center"/>
    </xf>
    <xf numFmtId="0" fontId="4" fillId="0" borderId="5" xfId="0" applyFont="1" applyBorder="1" applyAlignment="1">
      <alignment horizontal="left"/>
    </xf>
    <xf numFmtId="0" fontId="15" fillId="0" borderId="0" xfId="0" applyFont="1" applyFill="1"/>
    <xf numFmtId="0" fontId="13" fillId="0" borderId="0" xfId="0" applyFont="1" applyAlignment="1">
      <alignment horizontal="center"/>
    </xf>
    <xf numFmtId="0" fontId="4" fillId="0" borderId="6" xfId="0" applyFont="1" applyBorder="1"/>
    <xf numFmtId="0" fontId="4" fillId="0" borderId="27" xfId="0" applyFont="1" applyBorder="1" applyAlignment="1">
      <alignment horizontal="center"/>
    </xf>
    <xf numFmtId="0" fontId="4" fillId="0" borderId="18" xfId="0" applyFont="1" applyBorder="1" applyAlignment="1">
      <alignment horizontal="left"/>
    </xf>
    <xf numFmtId="0" fontId="4" fillId="0" borderId="17" xfId="0" applyFont="1" applyBorder="1" applyAlignment="1">
      <alignment horizontal="left"/>
    </xf>
    <xf numFmtId="0" fontId="13" fillId="0" borderId="34" xfId="0" applyFont="1" applyBorder="1" applyAlignment="1">
      <alignment horizontal="center"/>
    </xf>
    <xf numFmtId="0" fontId="4" fillId="0" borderId="8" xfId="0" applyFont="1" applyBorder="1"/>
    <xf numFmtId="0" fontId="4" fillId="0" borderId="8" xfId="0" applyFont="1" applyBorder="1" applyAlignment="1">
      <alignment horizontal="center"/>
    </xf>
    <xf numFmtId="0" fontId="4" fillId="0" borderId="20" xfId="0" applyFont="1" applyBorder="1"/>
    <xf numFmtId="0" fontId="4" fillId="0" borderId="20" xfId="0" applyFont="1" applyBorder="1" applyAlignment="1">
      <alignment horizontal="left"/>
    </xf>
    <xf numFmtId="43" fontId="0" fillId="0" borderId="9" xfId="0" applyNumberFormat="1" applyBorder="1"/>
    <xf numFmtId="166" fontId="0" fillId="0" borderId="0" xfId="0" applyNumberFormat="1" applyBorder="1"/>
    <xf numFmtId="0" fontId="0" fillId="0" borderId="16" xfId="0" applyBorder="1"/>
    <xf numFmtId="0" fontId="12" fillId="0" borderId="0" xfId="0" applyFont="1" applyBorder="1" applyAlignment="1">
      <alignment horizontal="center"/>
    </xf>
    <xf numFmtId="9" fontId="0" fillId="0" borderId="0" xfId="3" applyFont="1" applyBorder="1"/>
    <xf numFmtId="0" fontId="0" fillId="0" borderId="4" xfId="0" applyFill="1" applyBorder="1"/>
    <xf numFmtId="9" fontId="0" fillId="0" borderId="10" xfId="3" applyFont="1" applyBorder="1"/>
    <xf numFmtId="1" fontId="0" fillId="0" borderId="21" xfId="0" applyNumberFormat="1" applyBorder="1"/>
    <xf numFmtId="1" fontId="0" fillId="0" borderId="9" xfId="0" applyNumberFormat="1" applyBorder="1"/>
    <xf numFmtId="2" fontId="0" fillId="0" borderId="10" xfId="0" applyNumberFormat="1" applyBorder="1"/>
    <xf numFmtId="0" fontId="2" fillId="0" borderId="18" xfId="0" applyFont="1" applyBorder="1" applyAlignment="1">
      <alignment horizontal="center"/>
    </xf>
    <xf numFmtId="0" fontId="0" fillId="2" borderId="2" xfId="0" applyFont="1" applyFill="1" applyBorder="1"/>
    <xf numFmtId="0" fontId="4" fillId="0" borderId="47" xfId="0" applyFont="1" applyBorder="1"/>
    <xf numFmtId="0" fontId="4" fillId="0" borderId="0" xfId="0" applyFont="1" applyFill="1" applyAlignment="1"/>
    <xf numFmtId="0" fontId="4" fillId="0" borderId="29" xfId="0" applyFont="1" applyFill="1" applyBorder="1" applyAlignment="1"/>
    <xf numFmtId="0" fontId="4" fillId="0" borderId="48" xfId="0" applyFont="1" applyFill="1" applyBorder="1" applyAlignment="1"/>
    <xf numFmtId="0" fontId="4" fillId="0" borderId="47" xfId="0" applyFont="1" applyBorder="1" applyAlignment="1">
      <alignment horizontal="left"/>
    </xf>
    <xf numFmtId="0" fontId="13" fillId="0" borderId="49" xfId="0" applyFont="1" applyBorder="1" applyAlignment="1">
      <alignment horizontal="center"/>
    </xf>
    <xf numFmtId="0" fontId="4" fillId="0" borderId="6" xfId="0" applyFont="1" applyBorder="1" applyAlignment="1">
      <alignment horizontal="left"/>
    </xf>
    <xf numFmtId="0" fontId="4" fillId="0" borderId="49" xfId="0" applyFont="1" applyBorder="1" applyAlignment="1">
      <alignment horizontal="left"/>
    </xf>
    <xf numFmtId="0" fontId="4" fillId="10" borderId="6" xfId="0" applyFont="1" applyFill="1" applyBorder="1"/>
    <xf numFmtId="0" fontId="13" fillId="0" borderId="30" xfId="0" applyFont="1" applyBorder="1" applyAlignment="1">
      <alignment horizontal="center"/>
    </xf>
    <xf numFmtId="0" fontId="13" fillId="0" borderId="50" xfId="0" applyFont="1" applyBorder="1" applyAlignment="1">
      <alignment horizontal="center"/>
    </xf>
    <xf numFmtId="0" fontId="13" fillId="0" borderId="31" xfId="0" applyFont="1" applyBorder="1" applyAlignment="1">
      <alignment horizontal="center"/>
    </xf>
    <xf numFmtId="0" fontId="4" fillId="0" borderId="21" xfId="0" applyFont="1" applyFill="1" applyBorder="1" applyAlignment="1"/>
    <xf numFmtId="0" fontId="3" fillId="0" borderId="21" xfId="0" applyFont="1" applyBorder="1"/>
    <xf numFmtId="166" fontId="3" fillId="4" borderId="33" xfId="0" applyNumberFormat="1" applyFont="1" applyFill="1" applyBorder="1"/>
    <xf numFmtId="167" fontId="0" fillId="0" borderId="2" xfId="0" applyNumberFormat="1" applyBorder="1"/>
    <xf numFmtId="0" fontId="2" fillId="7" borderId="2" xfId="0" applyFont="1" applyFill="1" applyBorder="1"/>
    <xf numFmtId="0" fontId="2" fillId="0" borderId="2" xfId="0" applyFont="1" applyBorder="1" applyAlignment="1"/>
    <xf numFmtId="166" fontId="2" fillId="0" borderId="2" xfId="0" applyNumberFormat="1" applyFont="1" applyBorder="1" applyAlignment="1"/>
    <xf numFmtId="0" fontId="0" fillId="11" borderId="2" xfId="0" applyFill="1" applyBorder="1"/>
    <xf numFmtId="164" fontId="4" fillId="0" borderId="29" xfId="0" applyNumberFormat="1" applyFont="1" applyBorder="1" applyAlignment="1">
      <alignment horizontal="center"/>
    </xf>
    <xf numFmtId="2" fontId="4" fillId="0" borderId="30" xfId="0" applyNumberFormat="1" applyFont="1" applyBorder="1" applyAlignment="1">
      <alignment horizontal="left" indent="1"/>
    </xf>
    <xf numFmtId="0" fontId="13" fillId="11" borderId="54" xfId="0" applyFont="1" applyFill="1" applyBorder="1" applyAlignment="1">
      <alignment horizontal="center"/>
    </xf>
    <xf numFmtId="164" fontId="4" fillId="0" borderId="30" xfId="0" applyNumberFormat="1" applyFont="1" applyBorder="1" applyAlignment="1">
      <alignment horizontal="center"/>
    </xf>
    <xf numFmtId="0" fontId="13" fillId="0" borderId="40" xfId="0" applyFont="1" applyBorder="1" applyAlignment="1">
      <alignment horizontal="center"/>
    </xf>
    <xf numFmtId="0" fontId="4" fillId="0" borderId="55" xfId="0" applyFont="1" applyBorder="1"/>
    <xf numFmtId="0" fontId="3" fillId="10" borderId="56" xfId="0" applyFont="1" applyFill="1" applyBorder="1"/>
    <xf numFmtId="0" fontId="4" fillId="0" borderId="11" xfId="0" applyFont="1" applyBorder="1"/>
    <xf numFmtId="0" fontId="4" fillId="0" borderId="57" xfId="0" applyFont="1" applyBorder="1"/>
    <xf numFmtId="0" fontId="3" fillId="4" borderId="56" xfId="0" applyFont="1" applyFill="1" applyBorder="1"/>
    <xf numFmtId="0" fontId="3" fillId="4" borderId="58" xfId="0" applyFont="1" applyFill="1" applyBorder="1"/>
    <xf numFmtId="0" fontId="3" fillId="4" borderId="59" xfId="0" applyFont="1" applyFill="1" applyBorder="1"/>
    <xf numFmtId="0" fontId="3" fillId="0" borderId="60" xfId="0" applyFont="1" applyBorder="1"/>
    <xf numFmtId="0" fontId="4" fillId="0" borderId="54" xfId="0" applyFont="1" applyBorder="1"/>
    <xf numFmtId="0" fontId="4" fillId="0" borderId="51" xfId="0" applyFont="1" applyBorder="1"/>
    <xf numFmtId="0" fontId="4" fillId="0" borderId="61" xfId="0" applyFont="1" applyBorder="1"/>
    <xf numFmtId="0" fontId="4" fillId="0" borderId="60" xfId="0" applyFont="1" applyBorder="1"/>
    <xf numFmtId="0" fontId="4" fillId="0" borderId="0" xfId="0" applyFont="1" applyBorder="1" applyAlignment="1">
      <alignment horizontal="left"/>
    </xf>
    <xf numFmtId="0" fontId="4" fillId="0" borderId="0" xfId="0" applyFont="1" applyFill="1" applyBorder="1" applyAlignment="1">
      <alignment horizontal="right"/>
    </xf>
    <xf numFmtId="0" fontId="13" fillId="0" borderId="60" xfId="0" applyFont="1" applyBorder="1" applyAlignment="1">
      <alignment horizontal="center"/>
    </xf>
    <xf numFmtId="0" fontId="13" fillId="11" borderId="51" xfId="0" applyFont="1" applyFill="1" applyBorder="1" applyAlignment="1">
      <alignment horizontal="center"/>
    </xf>
    <xf numFmtId="168" fontId="4" fillId="0" borderId="9" xfId="0" applyNumberFormat="1" applyFont="1" applyFill="1" applyBorder="1" applyAlignment="1">
      <alignment horizontal="right"/>
    </xf>
    <xf numFmtId="3" fontId="25" fillId="5" borderId="1" xfId="0" applyNumberFormat="1" applyFont="1" applyFill="1" applyBorder="1" applyAlignment="1" applyProtection="1">
      <alignment vertical="top"/>
      <protection locked="0"/>
    </xf>
    <xf numFmtId="0" fontId="36" fillId="0" borderId="0" xfId="1"/>
    <xf numFmtId="0" fontId="0" fillId="0" borderId="0" xfId="0" applyFill="1"/>
    <xf numFmtId="0" fontId="23" fillId="6" borderId="24" xfId="0" applyFont="1" applyFill="1" applyBorder="1"/>
    <xf numFmtId="0" fontId="23" fillId="6" borderId="23" xfId="0" applyFont="1" applyFill="1" applyBorder="1"/>
    <xf numFmtId="0" fontId="23" fillId="6" borderId="22" xfId="0" applyFont="1" applyFill="1" applyBorder="1"/>
    <xf numFmtId="0" fontId="4" fillId="8" borderId="47" xfId="0" applyFont="1" applyFill="1" applyBorder="1" applyAlignment="1" applyProtection="1">
      <alignment horizontal="right"/>
      <protection locked="0"/>
    </xf>
    <xf numFmtId="9" fontId="4" fillId="5" borderId="47" xfId="0" applyNumberFormat="1" applyFont="1" applyFill="1" applyBorder="1" applyAlignment="1" applyProtection="1">
      <alignment horizontal="left" indent="2"/>
      <protection locked="0"/>
    </xf>
    <xf numFmtId="43" fontId="4" fillId="5" borderId="49" xfId="2" applyFont="1" applyFill="1" applyBorder="1" applyAlignment="1" applyProtection="1">
      <alignment horizontal="center"/>
      <protection locked="0"/>
    </xf>
    <xf numFmtId="0" fontId="0" fillId="5" borderId="2" xfId="0" applyFill="1" applyBorder="1" applyProtection="1">
      <protection locked="0"/>
    </xf>
    <xf numFmtId="0" fontId="4" fillId="8" borderId="2" xfId="0" applyFont="1" applyFill="1" applyBorder="1" applyAlignment="1" applyProtection="1">
      <alignment horizontal="right"/>
      <protection locked="0"/>
    </xf>
    <xf numFmtId="9" fontId="4" fillId="5" borderId="2" xfId="0" applyNumberFormat="1" applyFont="1" applyFill="1" applyBorder="1" applyAlignment="1" applyProtection="1">
      <alignment horizontal="left" indent="2"/>
      <protection locked="0"/>
    </xf>
    <xf numFmtId="43" fontId="4" fillId="5" borderId="6" xfId="2" applyFont="1" applyFill="1" applyBorder="1" applyAlignment="1" applyProtection="1">
      <alignment horizontal="center"/>
      <protection locked="0"/>
    </xf>
    <xf numFmtId="0" fontId="1" fillId="17" borderId="2" xfId="0" applyFont="1" applyFill="1" applyBorder="1" applyProtection="1">
      <protection locked="0"/>
    </xf>
    <xf numFmtId="0" fontId="4" fillId="8" borderId="76" xfId="0" applyFont="1" applyFill="1" applyBorder="1" applyAlignment="1" applyProtection="1">
      <alignment horizontal="right"/>
      <protection locked="0"/>
    </xf>
    <xf numFmtId="9" fontId="4" fillId="5" borderId="76" xfId="0" applyNumberFormat="1" applyFont="1" applyFill="1" applyBorder="1" applyAlignment="1" applyProtection="1">
      <alignment horizontal="left" indent="2"/>
      <protection locked="0"/>
    </xf>
    <xf numFmtId="43" fontId="4" fillId="5" borderId="14" xfId="2" applyFont="1" applyFill="1" applyBorder="1" applyAlignment="1" applyProtection="1">
      <alignment horizontal="center"/>
      <protection locked="0"/>
    </xf>
    <xf numFmtId="166" fontId="4" fillId="5" borderId="9" xfId="2" applyNumberFormat="1" applyFont="1" applyFill="1" applyBorder="1" applyProtection="1">
      <protection locked="0"/>
    </xf>
    <xf numFmtId="166" fontId="4" fillId="5" borderId="21" xfId="2" applyNumberFormat="1" applyFont="1" applyFill="1" applyBorder="1" applyProtection="1">
      <protection locked="0"/>
    </xf>
    <xf numFmtId="9" fontId="4" fillId="5" borderId="9" xfId="2" applyNumberFormat="1" applyFont="1" applyFill="1" applyBorder="1" applyProtection="1">
      <protection locked="0"/>
    </xf>
    <xf numFmtId="43" fontId="4" fillId="5" borderId="9" xfId="2" applyNumberFormat="1" applyFont="1" applyFill="1" applyBorder="1" applyProtection="1">
      <protection locked="0"/>
    </xf>
    <xf numFmtId="9" fontId="4" fillId="5" borderId="21" xfId="2" applyNumberFormat="1" applyFont="1" applyFill="1" applyBorder="1" applyProtection="1">
      <protection locked="0"/>
    </xf>
    <xf numFmtId="9" fontId="13" fillId="5" borderId="62" xfId="0" applyNumberFormat="1" applyFont="1" applyFill="1" applyBorder="1" applyProtection="1">
      <protection locked="0"/>
    </xf>
    <xf numFmtId="9" fontId="13" fillId="5" borderId="63" xfId="0" applyNumberFormat="1" applyFont="1" applyFill="1" applyBorder="1" applyProtection="1">
      <protection locked="0"/>
    </xf>
    <xf numFmtId="9" fontId="13" fillId="5" borderId="64" xfId="0" applyNumberFormat="1" applyFont="1" applyFill="1" applyBorder="1" applyProtection="1">
      <protection locked="0"/>
    </xf>
    <xf numFmtId="0" fontId="3" fillId="5" borderId="16" xfId="0" applyFont="1" applyFill="1" applyBorder="1" applyProtection="1">
      <protection locked="0"/>
    </xf>
    <xf numFmtId="166" fontId="4" fillId="5" borderId="6" xfId="2" applyNumberFormat="1" applyFont="1" applyFill="1" applyBorder="1" applyProtection="1">
      <protection locked="0"/>
    </xf>
    <xf numFmtId="43" fontId="4" fillId="5" borderId="27" xfId="2" applyFont="1" applyFill="1" applyBorder="1" applyProtection="1">
      <protection locked="0"/>
    </xf>
    <xf numFmtId="166" fontId="4" fillId="5" borderId="49" xfId="2" applyNumberFormat="1" applyFont="1" applyFill="1" applyBorder="1" applyProtection="1">
      <protection locked="0"/>
    </xf>
    <xf numFmtId="43" fontId="4" fillId="5" borderId="40" xfId="2" applyFont="1" applyFill="1" applyBorder="1" applyProtection="1">
      <protection locked="0"/>
    </xf>
    <xf numFmtId="43" fontId="4" fillId="5" borderId="10" xfId="2" applyFont="1" applyFill="1" applyBorder="1" applyProtection="1">
      <protection locked="0"/>
    </xf>
    <xf numFmtId="43" fontId="4" fillId="5" borderId="21" xfId="2" applyFont="1" applyFill="1" applyBorder="1" applyProtection="1">
      <protection locked="0"/>
    </xf>
    <xf numFmtId="43" fontId="4" fillId="5" borderId="9" xfId="2" applyFont="1" applyFill="1" applyBorder="1" applyProtection="1">
      <protection locked="0"/>
    </xf>
    <xf numFmtId="166" fontId="4" fillId="0" borderId="10" xfId="2" applyNumberFormat="1" applyFont="1" applyFill="1" applyBorder="1" applyProtection="1"/>
    <xf numFmtId="166" fontId="13" fillId="0" borderId="10" xfId="2" applyNumberFormat="1" applyFont="1" applyFill="1" applyBorder="1" applyProtection="1"/>
    <xf numFmtId="166" fontId="4" fillId="5" borderId="36" xfId="2" applyNumberFormat="1" applyFont="1" applyFill="1" applyBorder="1" applyProtection="1">
      <protection locked="0"/>
    </xf>
    <xf numFmtId="0" fontId="41" fillId="0" borderId="0" xfId="0" applyFont="1" applyBorder="1"/>
    <xf numFmtId="166" fontId="4" fillId="17" borderId="47" xfId="0" applyNumberFormat="1" applyFont="1" applyFill="1" applyBorder="1" applyAlignment="1" applyProtection="1">
      <alignment horizontal="left" indent="2"/>
      <protection locked="0"/>
    </xf>
    <xf numFmtId="0" fontId="4" fillId="17" borderId="2" xfId="0" applyFont="1" applyFill="1" applyBorder="1" applyAlignment="1" applyProtection="1">
      <alignment horizontal="left" indent="2"/>
      <protection locked="0"/>
    </xf>
    <xf numFmtId="0" fontId="4" fillId="17" borderId="76" xfId="0" applyFont="1" applyFill="1" applyBorder="1" applyAlignment="1" applyProtection="1">
      <alignment horizontal="left" indent="2"/>
      <protection locked="0"/>
    </xf>
    <xf numFmtId="0" fontId="3" fillId="0" borderId="9" xfId="0" applyFont="1" applyFill="1" applyBorder="1"/>
    <xf numFmtId="0" fontId="3" fillId="0" borderId="10" xfId="0" applyFont="1" applyFill="1" applyBorder="1"/>
    <xf numFmtId="0" fontId="4" fillId="17" borderId="6" xfId="0" applyFont="1" applyFill="1" applyBorder="1" applyProtection="1">
      <protection locked="0"/>
    </xf>
    <xf numFmtId="0" fontId="4" fillId="0" borderId="2" xfId="0" applyFont="1" applyFill="1" applyBorder="1" applyAlignment="1">
      <alignment horizontal="left"/>
    </xf>
    <xf numFmtId="0" fontId="4" fillId="0" borderId="47" xfId="0" applyFont="1" applyFill="1" applyBorder="1" applyAlignment="1">
      <alignment horizontal="left"/>
    </xf>
    <xf numFmtId="0" fontId="0" fillId="0" borderId="0" xfId="0" applyFont="1"/>
    <xf numFmtId="3" fontId="25" fillId="17" borderId="78" xfId="0" applyNumberFormat="1" applyFont="1" applyFill="1" applyBorder="1" applyAlignment="1" applyProtection="1">
      <alignment vertical="top"/>
      <protection locked="0"/>
    </xf>
    <xf numFmtId="10" fontId="25" fillId="17" borderId="1" xfId="0" applyNumberFormat="1" applyFont="1" applyFill="1" applyBorder="1" applyAlignment="1" applyProtection="1">
      <alignment vertical="top"/>
      <protection locked="0"/>
    </xf>
    <xf numFmtId="166" fontId="0" fillId="0" borderId="10" xfId="0" applyNumberFormat="1" applyBorder="1"/>
    <xf numFmtId="166" fontId="0" fillId="0" borderId="21" xfId="0" applyNumberFormat="1" applyBorder="1"/>
    <xf numFmtId="0" fontId="13" fillId="0" borderId="17" xfId="0" applyFont="1" applyBorder="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xf numFmtId="0" fontId="42" fillId="0" borderId="17" xfId="0" applyFont="1" applyBorder="1"/>
    <xf numFmtId="0" fontId="42" fillId="0" borderId="2" xfId="0" applyFont="1" applyBorder="1"/>
    <xf numFmtId="0" fontId="42" fillId="0" borderId="5" xfId="0" applyFont="1" applyBorder="1"/>
    <xf numFmtId="0" fontId="42" fillId="0" borderId="0" xfId="0" applyFont="1" applyBorder="1"/>
    <xf numFmtId="166" fontId="0" fillId="0" borderId="9" xfId="0" applyNumberFormat="1" applyBorder="1"/>
    <xf numFmtId="168" fontId="0" fillId="0" borderId="9" xfId="0" applyNumberFormat="1" applyBorder="1"/>
    <xf numFmtId="2" fontId="4" fillId="20" borderId="50" xfId="0" applyNumberFormat="1" applyFont="1" applyFill="1" applyBorder="1" applyAlignment="1"/>
    <xf numFmtId="0" fontId="13" fillId="20" borderId="50" xfId="0" applyNumberFormat="1" applyFont="1" applyFill="1" applyBorder="1" applyAlignment="1">
      <alignment horizontal="right"/>
    </xf>
    <xf numFmtId="0" fontId="4" fillId="20" borderId="29" xfId="0" applyFont="1" applyFill="1" applyBorder="1" applyAlignment="1"/>
    <xf numFmtId="9" fontId="4" fillId="20" borderId="30" xfId="3" applyFont="1" applyFill="1" applyBorder="1" applyAlignment="1"/>
    <xf numFmtId="9" fontId="4" fillId="20" borderId="50" xfId="3" applyFont="1" applyFill="1" applyBorder="1" applyAlignment="1"/>
    <xf numFmtId="9" fontId="4" fillId="20" borderId="48" xfId="3" applyFont="1" applyFill="1" applyBorder="1" applyAlignment="1"/>
    <xf numFmtId="0" fontId="4" fillId="20" borderId="31" xfId="0" applyFont="1" applyFill="1" applyBorder="1" applyAlignment="1"/>
    <xf numFmtId="9" fontId="4" fillId="20" borderId="25" xfId="3" applyFont="1" applyFill="1" applyBorder="1" applyAlignment="1"/>
    <xf numFmtId="0" fontId="23" fillId="0" borderId="0" xfId="0" applyFont="1" applyFill="1" applyBorder="1"/>
    <xf numFmtId="166" fontId="13" fillId="0" borderId="21" xfId="2" applyNumberFormat="1" applyFont="1" applyFill="1" applyBorder="1" applyProtection="1"/>
    <xf numFmtId="166" fontId="13" fillId="0" borderId="9" xfId="2" applyNumberFormat="1" applyFont="1" applyFill="1" applyBorder="1" applyProtection="1"/>
    <xf numFmtId="166" fontId="4" fillId="17" borderId="53" xfId="2" applyNumberFormat="1" applyFont="1" applyFill="1" applyBorder="1" applyProtection="1">
      <protection locked="0"/>
    </xf>
    <xf numFmtId="166" fontId="4" fillId="17" borderId="9" xfId="2" applyNumberFormat="1" applyFont="1" applyFill="1" applyBorder="1" applyProtection="1">
      <protection locked="0"/>
    </xf>
    <xf numFmtId="166" fontId="4" fillId="0" borderId="9" xfId="2" applyNumberFormat="1" applyFont="1" applyFill="1" applyBorder="1" applyProtection="1"/>
    <xf numFmtId="43" fontId="4" fillId="0" borderId="9" xfId="2" applyNumberFormat="1" applyFont="1" applyFill="1" applyBorder="1" applyProtection="1"/>
    <xf numFmtId="167" fontId="4" fillId="0" borderId="25" xfId="0" applyNumberFormat="1" applyFont="1" applyBorder="1" applyProtection="1"/>
    <xf numFmtId="9" fontId="4" fillId="0" borderId="54" xfId="0" applyNumberFormat="1" applyFont="1" applyBorder="1" applyProtection="1"/>
    <xf numFmtId="166" fontId="3" fillId="0" borderId="33" xfId="2" applyNumberFormat="1" applyFont="1" applyFill="1" applyBorder="1" applyProtection="1"/>
    <xf numFmtId="2" fontId="3" fillId="0" borderId="24" xfId="0" applyNumberFormat="1" applyFont="1" applyBorder="1" applyProtection="1"/>
    <xf numFmtId="0" fontId="23" fillId="6" borderId="22" xfId="0" applyFont="1" applyFill="1" applyBorder="1" applyProtection="1"/>
    <xf numFmtId="0" fontId="4" fillId="0" borderId="0" xfId="0" applyFont="1" applyAlignment="1" applyProtection="1">
      <alignment horizontal="center"/>
    </xf>
    <xf numFmtId="43" fontId="4" fillId="0" borderId="0" xfId="2" applyFont="1" applyProtection="1"/>
    <xf numFmtId="0" fontId="4" fillId="0" borderId="0" xfId="0" applyFont="1" applyProtection="1"/>
    <xf numFmtId="0" fontId="3" fillId="4" borderId="22" xfId="0" applyFont="1" applyFill="1" applyBorder="1" applyProtection="1"/>
    <xf numFmtId="0" fontId="36" fillId="0" borderId="0" xfId="1" applyProtection="1"/>
    <xf numFmtId="166" fontId="4" fillId="0" borderId="21" xfId="2" applyNumberFormat="1" applyFont="1" applyFill="1" applyBorder="1" applyProtection="1"/>
    <xf numFmtId="166" fontId="4" fillId="17" borderId="2" xfId="2" applyNumberFormat="1" applyFont="1" applyFill="1" applyBorder="1" applyAlignment="1" applyProtection="1">
      <alignment horizontal="center"/>
      <protection locked="0"/>
    </xf>
    <xf numFmtId="167" fontId="6" fillId="5" borderId="2" xfId="0" applyNumberFormat="1" applyFont="1" applyFill="1" applyBorder="1" applyAlignment="1" applyProtection="1">
      <alignment horizontal="center"/>
      <protection locked="0"/>
    </xf>
    <xf numFmtId="166" fontId="6" fillId="5" borderId="2" xfId="2" applyNumberFormat="1"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10" fontId="6" fillId="5" borderId="2" xfId="0" applyNumberFormat="1" applyFont="1" applyFill="1" applyBorder="1" applyProtection="1">
      <protection locked="0"/>
    </xf>
    <xf numFmtId="167" fontId="6" fillId="17" borderId="2" xfId="3" applyNumberFormat="1" applyFont="1" applyFill="1" applyBorder="1" applyAlignment="1" applyProtection="1">
      <alignment horizontal="right"/>
      <protection locked="0"/>
    </xf>
    <xf numFmtId="1" fontId="6" fillId="17" borderId="2" xfId="0" applyNumberFormat="1" applyFont="1" applyFill="1" applyBorder="1" applyAlignment="1" applyProtection="1">
      <alignment horizontal="right"/>
      <protection locked="0"/>
    </xf>
    <xf numFmtId="0" fontId="6" fillId="17" borderId="28" xfId="0" applyFont="1" applyFill="1" applyBorder="1" applyAlignment="1" applyProtection="1">
      <alignment horizontal="left"/>
      <protection locked="0"/>
    </xf>
    <xf numFmtId="166" fontId="6" fillId="5" borderId="18" xfId="2" applyNumberFormat="1" applyFont="1" applyFill="1" applyBorder="1" applyAlignment="1" applyProtection="1">
      <alignment horizontal="center"/>
      <protection locked="0"/>
    </xf>
    <xf numFmtId="0" fontId="6" fillId="5" borderId="18" xfId="0" applyFont="1" applyFill="1" applyBorder="1" applyAlignment="1" applyProtection="1">
      <alignment horizontal="center"/>
      <protection locked="0"/>
    </xf>
    <xf numFmtId="0" fontId="6" fillId="17" borderId="72" xfId="0" applyFont="1" applyFill="1" applyBorder="1" applyAlignment="1" applyProtection="1">
      <alignment horizontal="left"/>
      <protection locked="0"/>
    </xf>
    <xf numFmtId="10" fontId="6" fillId="5" borderId="18" xfId="0" applyNumberFormat="1" applyFont="1" applyFill="1" applyBorder="1" applyProtection="1">
      <protection locked="0"/>
    </xf>
    <xf numFmtId="167" fontId="6" fillId="17" borderId="2" xfId="0" applyNumberFormat="1" applyFont="1" applyFill="1" applyBorder="1" applyAlignment="1" applyProtection="1">
      <alignment horizontal="right"/>
      <protection locked="0"/>
    </xf>
    <xf numFmtId="166" fontId="6" fillId="17" borderId="2" xfId="2" applyNumberFormat="1" applyFont="1" applyFill="1" applyBorder="1" applyAlignment="1" applyProtection="1">
      <protection locked="0"/>
    </xf>
    <xf numFmtId="10" fontId="6" fillId="5" borderId="2" xfId="0" applyNumberFormat="1" applyFont="1" applyFill="1" applyBorder="1" applyAlignment="1" applyProtection="1">
      <alignment horizontal="right"/>
      <protection locked="0"/>
    </xf>
    <xf numFmtId="167" fontId="6" fillId="17" borderId="2" xfId="0" applyNumberFormat="1" applyFont="1" applyFill="1" applyBorder="1" applyAlignment="1" applyProtection="1">
      <alignment horizontal="center"/>
      <protection locked="0"/>
    </xf>
    <xf numFmtId="166" fontId="6" fillId="5" borderId="5" xfId="2" applyNumberFormat="1" applyFont="1" applyFill="1" applyBorder="1" applyAlignment="1" applyProtection="1">
      <alignment horizontal="center"/>
      <protection locked="0"/>
    </xf>
    <xf numFmtId="0" fontId="6" fillId="5" borderId="5" xfId="0" applyFont="1" applyFill="1" applyBorder="1" applyAlignment="1" applyProtection="1">
      <alignment horizontal="center"/>
      <protection locked="0"/>
    </xf>
    <xf numFmtId="10" fontId="6" fillId="5" borderId="5" xfId="0" applyNumberFormat="1" applyFont="1" applyFill="1" applyBorder="1" applyAlignment="1" applyProtection="1">
      <alignment horizontal="right"/>
      <protection locked="0"/>
    </xf>
    <xf numFmtId="166" fontId="6" fillId="5" borderId="47" xfId="2" applyNumberFormat="1" applyFont="1" applyFill="1" applyBorder="1" applyAlignment="1" applyProtection="1">
      <alignment horizontal="center"/>
      <protection locked="0"/>
    </xf>
    <xf numFmtId="0" fontId="6" fillId="5" borderId="47" xfId="0" applyFont="1" applyFill="1" applyBorder="1" applyAlignment="1" applyProtection="1">
      <alignment horizontal="center"/>
      <protection locked="0"/>
    </xf>
    <xf numFmtId="10" fontId="6" fillId="5" borderId="57" xfId="0" applyNumberFormat="1" applyFont="1" applyFill="1" applyBorder="1" applyProtection="1">
      <protection locked="0"/>
    </xf>
    <xf numFmtId="10" fontId="6" fillId="5" borderId="11" xfId="0" applyNumberFormat="1" applyFont="1" applyFill="1" applyBorder="1" applyProtection="1">
      <protection locked="0"/>
    </xf>
    <xf numFmtId="0" fontId="6" fillId="17" borderId="81" xfId="0" applyFont="1" applyFill="1" applyBorder="1" applyAlignment="1" applyProtection="1">
      <alignment horizontal="left"/>
      <protection locked="0"/>
    </xf>
    <xf numFmtId="0" fontId="6" fillId="17" borderId="72" xfId="0" applyFont="1" applyFill="1" applyBorder="1" applyAlignment="1" applyProtection="1">
      <alignment horizontal="right"/>
      <protection locked="0"/>
    </xf>
    <xf numFmtId="10" fontId="6" fillId="5" borderId="61" xfId="0" applyNumberFormat="1" applyFont="1" applyFill="1" applyBorder="1" applyProtection="1">
      <protection locked="0"/>
    </xf>
    <xf numFmtId="166" fontId="6" fillId="5" borderId="2" xfId="0" applyNumberFormat="1" applyFont="1" applyFill="1" applyBorder="1" applyAlignment="1" applyProtection="1">
      <alignment horizontal="center"/>
      <protection locked="0"/>
    </xf>
    <xf numFmtId="166" fontId="6" fillId="17" borderId="18" xfId="0" applyNumberFormat="1" applyFont="1" applyFill="1" applyBorder="1" applyAlignment="1" applyProtection="1">
      <alignment horizontal="center"/>
      <protection locked="0"/>
    </xf>
    <xf numFmtId="166" fontId="4" fillId="5" borderId="9" xfId="2" applyNumberFormat="1" applyFont="1" applyFill="1" applyBorder="1" applyAlignment="1" applyProtection="1">
      <alignment horizontal="center"/>
      <protection locked="0"/>
    </xf>
    <xf numFmtId="167" fontId="25" fillId="5" borderId="2" xfId="0" applyNumberFormat="1" applyFont="1" applyFill="1" applyBorder="1" applyAlignment="1" applyProtection="1">
      <alignment vertical="top"/>
      <protection locked="0"/>
    </xf>
    <xf numFmtId="0" fontId="11" fillId="0" borderId="16" xfId="0" applyFont="1" applyBorder="1" applyProtection="1"/>
    <xf numFmtId="0" fontId="10" fillId="0" borderId="17" xfId="0" applyFont="1" applyBorder="1" applyAlignment="1" applyProtection="1">
      <alignment horizontal="center" vertical="center" wrapText="1"/>
    </xf>
    <xf numFmtId="0" fontId="10" fillId="0" borderId="21" xfId="0" applyFont="1" applyBorder="1" applyAlignment="1" applyProtection="1">
      <alignment horizontal="center" vertical="center"/>
    </xf>
    <xf numFmtId="0" fontId="11" fillId="0" borderId="3" xfId="0" applyFont="1" applyBorder="1" applyProtection="1"/>
    <xf numFmtId="0" fontId="10" fillId="0" borderId="2" xfId="0" applyFont="1" applyBorder="1" applyAlignment="1" applyProtection="1">
      <alignment horizontal="center"/>
    </xf>
    <xf numFmtId="0" fontId="10" fillId="0" borderId="9" xfId="0" applyFont="1" applyBorder="1" applyAlignment="1" applyProtection="1">
      <alignment horizontal="center"/>
    </xf>
    <xf numFmtId="0" fontId="10" fillId="0" borderId="3" xfId="0" applyFont="1" applyBorder="1" applyAlignment="1" applyProtection="1">
      <alignment horizontal="left"/>
    </xf>
    <xf numFmtId="4" fontId="11" fillId="0" borderId="2" xfId="0" applyNumberFormat="1" applyFont="1" applyBorder="1" applyAlignment="1" applyProtection="1">
      <alignment horizontal="center" vertical="center"/>
    </xf>
    <xf numFmtId="4" fontId="11" fillId="0" borderId="9" xfId="0" applyNumberFormat="1" applyFont="1" applyBorder="1" applyAlignment="1" applyProtection="1">
      <alignment horizontal="center"/>
    </xf>
    <xf numFmtId="0" fontId="2" fillId="0" borderId="3" xfId="0" applyFont="1" applyBorder="1" applyAlignment="1" applyProtection="1">
      <alignment horizontal="left"/>
    </xf>
    <xf numFmtId="0" fontId="18" fillId="0" borderId="3" xfId="0" applyFont="1" applyBorder="1" applyAlignment="1" applyProtection="1">
      <alignment horizontal="left"/>
    </xf>
    <xf numFmtId="4" fontId="19" fillId="0" borderId="2" xfId="0" applyNumberFormat="1" applyFont="1" applyBorder="1" applyAlignment="1" applyProtection="1">
      <alignment horizontal="center" vertical="center"/>
    </xf>
    <xf numFmtId="4" fontId="19" fillId="0" borderId="9" xfId="0" applyNumberFormat="1" applyFont="1" applyBorder="1" applyAlignment="1" applyProtection="1">
      <alignment horizontal="center"/>
    </xf>
    <xf numFmtId="0" fontId="10" fillId="0" borderId="4" xfId="0" applyFont="1" applyBorder="1" applyAlignment="1" applyProtection="1">
      <alignment horizontal="left"/>
    </xf>
    <xf numFmtId="4" fontId="11" fillId="0" borderId="5" xfId="0" applyNumberFormat="1" applyFont="1" applyBorder="1" applyAlignment="1" applyProtection="1">
      <alignment horizontal="center" vertical="center"/>
    </xf>
    <xf numFmtId="4" fontId="11" fillId="0" borderId="10" xfId="0" applyNumberFormat="1" applyFont="1" applyBorder="1" applyAlignment="1" applyProtection="1">
      <alignment horizontal="center"/>
    </xf>
    <xf numFmtId="0" fontId="4" fillId="0" borderId="0" xfId="0" applyFont="1" applyAlignment="1" applyProtection="1">
      <alignment horizontal="left" indent="2"/>
    </xf>
    <xf numFmtId="0" fontId="6" fillId="0" borderId="0" xfId="0" applyFont="1" applyProtection="1"/>
    <xf numFmtId="0" fontId="6" fillId="0" borderId="0" xfId="0" applyFont="1" applyBorder="1" applyProtection="1"/>
    <xf numFmtId="0" fontId="6" fillId="0" borderId="0" xfId="0" applyFont="1" applyFill="1" applyProtection="1"/>
    <xf numFmtId="0" fontId="5" fillId="0" borderId="0" xfId="0" applyFont="1" applyProtection="1"/>
    <xf numFmtId="0" fontId="6" fillId="0" borderId="0" xfId="0" applyFont="1" applyFill="1" applyBorder="1" applyProtection="1"/>
    <xf numFmtId="0" fontId="5" fillId="0" borderId="0" xfId="0" applyFont="1" applyFill="1" applyBorder="1" applyProtection="1"/>
    <xf numFmtId="166" fontId="5" fillId="0" borderId="0" xfId="2" applyNumberFormat="1" applyFont="1" applyFill="1" applyBorder="1" applyAlignment="1" applyProtection="1">
      <alignment horizontal="center"/>
    </xf>
    <xf numFmtId="0" fontId="5" fillId="0" borderId="0" xfId="0" applyFont="1" applyFill="1" applyBorder="1" applyAlignment="1" applyProtection="1">
      <alignment horizontal="center"/>
    </xf>
    <xf numFmtId="10" fontId="6" fillId="0" borderId="0" xfId="3" applyNumberFormat="1" applyFont="1" applyFill="1" applyBorder="1" applyAlignment="1" applyProtection="1">
      <alignment horizontal="center"/>
    </xf>
    <xf numFmtId="1" fontId="5" fillId="0" borderId="0" xfId="0" applyNumberFormat="1" applyFont="1" applyFill="1" applyBorder="1" applyProtection="1"/>
    <xf numFmtId="43" fontId="5" fillId="0" borderId="0" xfId="2" applyFont="1" applyFill="1" applyBorder="1" applyAlignment="1" applyProtection="1">
      <alignment horizontal="center"/>
    </xf>
    <xf numFmtId="166" fontId="6" fillId="0" borderId="0" xfId="0" applyNumberFormat="1" applyFont="1" applyFill="1" applyBorder="1" applyAlignment="1" applyProtection="1">
      <alignment horizontal="center"/>
    </xf>
    <xf numFmtId="166" fontId="6" fillId="0" borderId="0" xfId="0" applyNumberFormat="1" applyFont="1" applyFill="1" applyBorder="1" applyProtection="1"/>
    <xf numFmtId="9" fontId="4" fillId="17" borderId="36" xfId="2" applyNumberFormat="1" applyFont="1" applyFill="1" applyBorder="1" applyProtection="1">
      <protection locked="0"/>
    </xf>
    <xf numFmtId="0" fontId="13" fillId="0" borderId="27" xfId="0" applyFont="1" applyBorder="1" applyAlignment="1">
      <alignment horizontal="center"/>
    </xf>
    <xf numFmtId="3" fontId="0" fillId="0" borderId="21" xfId="0" applyNumberFormat="1" applyBorder="1"/>
    <xf numFmtId="0" fontId="0" fillId="0" borderId="0" xfId="0" applyFill="1" applyBorder="1"/>
    <xf numFmtId="0" fontId="4" fillId="20" borderId="50" xfId="0" applyNumberFormat="1" applyFont="1" applyFill="1" applyBorder="1" applyAlignment="1">
      <alignment horizontal="right"/>
    </xf>
    <xf numFmtId="3" fontId="4" fillId="0" borderId="9" xfId="0" applyNumberFormat="1" applyFont="1" applyFill="1" applyBorder="1" applyAlignment="1">
      <alignment horizontal="right"/>
    </xf>
    <xf numFmtId="3" fontId="4" fillId="0" borderId="10" xfId="0" applyNumberFormat="1" applyFont="1" applyFill="1" applyBorder="1" applyAlignment="1">
      <alignment horizontal="right"/>
    </xf>
    <xf numFmtId="3" fontId="4" fillId="0" borderId="30" xfId="0" applyNumberFormat="1" applyFont="1" applyBorder="1" applyAlignment="1">
      <alignment horizontal="center"/>
    </xf>
    <xf numFmtId="3" fontId="4" fillId="0" borderId="31" xfId="0" applyNumberFormat="1" applyFont="1" applyBorder="1" applyAlignment="1">
      <alignment horizontal="center"/>
    </xf>
    <xf numFmtId="4" fontId="4" fillId="20" borderId="30" xfId="0" applyNumberFormat="1" applyFont="1" applyFill="1" applyBorder="1" applyAlignment="1"/>
    <xf numFmtId="4" fontId="4" fillId="20" borderId="50" xfId="0" applyNumberFormat="1" applyFont="1" applyFill="1" applyBorder="1" applyAlignment="1"/>
    <xf numFmtId="4" fontId="4" fillId="20" borderId="51" xfId="0" applyNumberFormat="1" applyFont="1" applyFill="1" applyBorder="1" applyAlignment="1"/>
    <xf numFmtId="0" fontId="13" fillId="0" borderId="29" xfId="0" applyFont="1" applyBorder="1" applyAlignment="1">
      <alignment horizontal="center"/>
    </xf>
    <xf numFmtId="0" fontId="13" fillId="0" borderId="8" xfId="0" applyFont="1" applyBorder="1" applyAlignment="1">
      <alignment horizontal="center"/>
    </xf>
    <xf numFmtId="0" fontId="13" fillId="0" borderId="35" xfId="0" applyFont="1" applyBorder="1" applyAlignment="1">
      <alignment horizontal="center"/>
    </xf>
    <xf numFmtId="9" fontId="25" fillId="5" borderId="1" xfId="0" applyNumberFormat="1" applyFont="1" applyFill="1" applyBorder="1" applyAlignment="1" applyProtection="1">
      <alignment vertical="top"/>
      <protection locked="0"/>
    </xf>
    <xf numFmtId="0" fontId="1" fillId="0" borderId="2" xfId="0" applyFont="1" applyFill="1" applyBorder="1"/>
    <xf numFmtId="0" fontId="1" fillId="0" borderId="2" xfId="0" applyFont="1" applyFill="1" applyBorder="1" applyAlignment="1">
      <alignment horizontal="left" indent="2"/>
    </xf>
    <xf numFmtId="0" fontId="1" fillId="0" borderId="2" xfId="0" applyFont="1" applyFill="1" applyBorder="1" applyAlignment="1">
      <alignment horizontal="center"/>
    </xf>
    <xf numFmtId="0" fontId="47" fillId="0" borderId="2" xfId="0" applyFont="1" applyFill="1" applyBorder="1"/>
    <xf numFmtId="43" fontId="1" fillId="0" borderId="2" xfId="2" applyFont="1" applyFill="1" applyBorder="1" applyAlignment="1">
      <alignment horizontal="center"/>
    </xf>
    <xf numFmtId="166" fontId="0" fillId="0" borderId="2" xfId="0" applyNumberFormat="1" applyFont="1" applyBorder="1" applyAlignment="1">
      <alignment horizontal="center"/>
    </xf>
    <xf numFmtId="166" fontId="1" fillId="0" borderId="2" xfId="2" applyNumberFormat="1" applyFont="1" applyBorder="1"/>
    <xf numFmtId="166" fontId="0" fillId="0" borderId="2" xfId="0" applyNumberFormat="1" applyFont="1" applyBorder="1"/>
    <xf numFmtId="3" fontId="25" fillId="17" borderId="1" xfId="0" applyNumberFormat="1" applyFont="1" applyFill="1" applyBorder="1" applyAlignment="1" applyProtection="1">
      <alignment vertical="top"/>
      <protection locked="0"/>
    </xf>
    <xf numFmtId="166" fontId="6" fillId="5" borderId="21" xfId="2" applyNumberFormat="1" applyFont="1" applyFill="1" applyBorder="1" applyAlignment="1" applyProtection="1">
      <alignment horizontal="center"/>
      <protection locked="0"/>
    </xf>
    <xf numFmtId="166" fontId="6" fillId="5" borderId="34" xfId="2" applyNumberFormat="1" applyFont="1" applyFill="1" applyBorder="1" applyAlignment="1" applyProtection="1">
      <alignment horizontal="center"/>
      <protection locked="0"/>
    </xf>
    <xf numFmtId="166" fontId="6" fillId="5" borderId="9" xfId="2" applyNumberFormat="1" applyFont="1" applyFill="1" applyBorder="1" applyAlignment="1" applyProtection="1">
      <alignment horizontal="center"/>
      <protection locked="0"/>
    </xf>
    <xf numFmtId="166" fontId="6" fillId="5" borderId="6" xfId="2" applyNumberFormat="1" applyFont="1" applyFill="1" applyBorder="1" applyAlignment="1" applyProtection="1">
      <alignment horizontal="center"/>
      <protection locked="0"/>
    </xf>
    <xf numFmtId="0" fontId="23" fillId="6" borderId="23" xfId="0" applyFont="1" applyFill="1" applyBorder="1" applyProtection="1"/>
    <xf numFmtId="0" fontId="23" fillId="6" borderId="24" xfId="0" applyFont="1" applyFill="1" applyBorder="1" applyProtection="1"/>
    <xf numFmtId="0" fontId="4" fillId="0" borderId="0" xfId="0" applyFont="1" applyFill="1" applyBorder="1" applyProtection="1"/>
    <xf numFmtId="0" fontId="4" fillId="0" borderId="0" xfId="0" applyFont="1" applyFill="1" applyProtection="1"/>
    <xf numFmtId="0" fontId="3" fillId="0" borderId="0" xfId="0" applyFont="1" applyFill="1" applyProtection="1"/>
    <xf numFmtId="0" fontId="4" fillId="0" borderId="16" xfId="0" applyFont="1" applyBorder="1" applyProtection="1"/>
    <xf numFmtId="0" fontId="4" fillId="0" borderId="21" xfId="0" applyFont="1" applyBorder="1" applyAlignment="1" applyProtection="1">
      <alignment horizontal="center"/>
    </xf>
    <xf numFmtId="0" fontId="4" fillId="0" borderId="0" xfId="0" applyFont="1" applyBorder="1" applyProtection="1"/>
    <xf numFmtId="0" fontId="4" fillId="0" borderId="3" xfId="0" applyFont="1" applyBorder="1" applyProtection="1"/>
    <xf numFmtId="0" fontId="4" fillId="0" borderId="9" xfId="0" applyFont="1" applyBorder="1" applyProtection="1"/>
    <xf numFmtId="166" fontId="4" fillId="0" borderId="9" xfId="0" applyNumberFormat="1" applyFont="1" applyBorder="1" applyProtection="1"/>
    <xf numFmtId="0" fontId="3" fillId="2" borderId="4" xfId="0" applyFont="1" applyFill="1" applyBorder="1" applyProtection="1"/>
    <xf numFmtId="0" fontId="3" fillId="2" borderId="10" xfId="0" applyFont="1" applyFill="1" applyBorder="1" applyProtection="1"/>
    <xf numFmtId="0" fontId="3" fillId="0" borderId="0" xfId="0" applyFont="1" applyAlignment="1" applyProtection="1">
      <alignment horizontal="center"/>
    </xf>
    <xf numFmtId="0" fontId="3" fillId="12" borderId="60" xfId="0" applyFont="1" applyFill="1" applyBorder="1" applyAlignment="1" applyProtection="1">
      <alignment horizontal="center" wrapText="1"/>
    </xf>
    <xf numFmtId="166" fontId="6" fillId="0" borderId="29" xfId="2" applyNumberFormat="1" applyFont="1" applyFill="1" applyBorder="1" applyAlignment="1" applyProtection="1">
      <alignment horizontal="center"/>
    </xf>
    <xf numFmtId="166" fontId="4" fillId="0" borderId="30" xfId="2" applyNumberFormat="1" applyFont="1" applyFill="1" applyBorder="1" applyProtection="1"/>
    <xf numFmtId="166" fontId="6" fillId="0" borderId="30" xfId="2" applyNumberFormat="1" applyFont="1" applyFill="1" applyBorder="1" applyAlignment="1" applyProtection="1">
      <alignment horizontal="center"/>
    </xf>
    <xf numFmtId="0" fontId="3" fillId="0" borderId="4" xfId="0" applyFont="1" applyBorder="1" applyProtection="1"/>
    <xf numFmtId="166" fontId="5" fillId="0" borderId="10" xfId="2" applyNumberFormat="1" applyFont="1" applyFill="1" applyBorder="1" applyAlignment="1" applyProtection="1">
      <alignment horizontal="center"/>
    </xf>
    <xf numFmtId="166" fontId="5" fillId="0" borderId="40" xfId="2" applyNumberFormat="1" applyFont="1" applyFill="1" applyBorder="1" applyAlignment="1" applyProtection="1">
      <alignment horizontal="center"/>
    </xf>
    <xf numFmtId="166" fontId="5" fillId="0" borderId="31" xfId="2" applyNumberFormat="1" applyFont="1" applyFill="1" applyBorder="1" applyAlignment="1" applyProtection="1">
      <alignment horizontal="center"/>
    </xf>
    <xf numFmtId="166" fontId="3" fillId="0" borderId="25" xfId="2" applyNumberFormat="1" applyFont="1" applyFill="1" applyBorder="1" applyProtection="1"/>
    <xf numFmtId="9" fontId="6" fillId="0" borderId="21" xfId="3" applyFont="1" applyFill="1" applyBorder="1" applyAlignment="1" applyProtection="1">
      <alignment horizontal="center"/>
    </xf>
    <xf numFmtId="9" fontId="6" fillId="0" borderId="9" xfId="3" applyFont="1" applyFill="1" applyBorder="1" applyAlignment="1" applyProtection="1">
      <alignment horizontal="center"/>
    </xf>
    <xf numFmtId="9" fontId="5" fillId="0" borderId="10" xfId="3" applyFont="1" applyFill="1" applyBorder="1" applyAlignment="1" applyProtection="1">
      <alignment horizontal="center"/>
    </xf>
    <xf numFmtId="0" fontId="4" fillId="17" borderId="83" xfId="0" applyFont="1" applyFill="1" applyBorder="1" applyProtection="1">
      <protection locked="0"/>
    </xf>
    <xf numFmtId="0" fontId="4" fillId="17" borderId="84" xfId="0" applyFont="1" applyFill="1" applyBorder="1" applyProtection="1">
      <protection locked="0"/>
    </xf>
    <xf numFmtId="0" fontId="4" fillId="17" borderId="85" xfId="0" applyFont="1" applyFill="1" applyBorder="1" applyProtection="1">
      <protection locked="0"/>
    </xf>
    <xf numFmtId="0" fontId="4" fillId="17" borderId="49" xfId="0" applyFont="1" applyFill="1" applyBorder="1" applyProtection="1">
      <protection locked="0"/>
    </xf>
    <xf numFmtId="0" fontId="4" fillId="17" borderId="52" xfId="0" applyFont="1" applyFill="1" applyBorder="1" applyProtection="1">
      <protection locked="0"/>
    </xf>
    <xf numFmtId="0" fontId="4" fillId="17" borderId="57" xfId="0" applyFont="1" applyFill="1" applyBorder="1" applyProtection="1">
      <protection locked="0"/>
    </xf>
    <xf numFmtId="0" fontId="4" fillId="17" borderId="91" xfId="0" applyFont="1" applyFill="1" applyBorder="1" applyProtection="1">
      <protection locked="0"/>
    </xf>
    <xf numFmtId="0" fontId="4" fillId="17" borderId="89" xfId="0" applyFont="1" applyFill="1" applyBorder="1" applyProtection="1">
      <protection locked="0"/>
    </xf>
    <xf numFmtId="0" fontId="4" fillId="17" borderId="90" xfId="0" applyFont="1" applyFill="1" applyBorder="1" applyProtection="1">
      <protection locked="0"/>
    </xf>
    <xf numFmtId="14" fontId="4" fillId="17" borderId="52" xfId="0" applyNumberFormat="1" applyFont="1" applyFill="1" applyBorder="1" applyProtection="1">
      <protection locked="0"/>
    </xf>
    <xf numFmtId="0" fontId="23" fillId="17" borderId="0" xfId="0" applyFont="1" applyFill="1" applyProtection="1"/>
    <xf numFmtId="0" fontId="44" fillId="17" borderId="0" xfId="0" applyFont="1" applyFill="1" applyProtection="1"/>
    <xf numFmtId="0" fontId="4" fillId="17" borderId="0" xfId="0" applyFont="1" applyFill="1" applyProtection="1"/>
    <xf numFmtId="0" fontId="4" fillId="4" borderId="23" xfId="0" applyFont="1" applyFill="1" applyBorder="1" applyProtection="1"/>
    <xf numFmtId="0" fontId="4" fillId="4" borderId="23" xfId="0" applyFont="1" applyFill="1" applyBorder="1" applyAlignment="1" applyProtection="1">
      <alignment horizontal="center"/>
    </xf>
    <xf numFmtId="43" fontId="4" fillId="4" borderId="24" xfId="2" applyFont="1" applyFill="1" applyBorder="1" applyProtection="1"/>
    <xf numFmtId="0" fontId="3" fillId="21" borderId="86" xfId="0" applyFont="1" applyFill="1" applyBorder="1" applyProtection="1"/>
    <xf numFmtId="0" fontId="4" fillId="21" borderId="87" xfId="0" applyFont="1" applyFill="1" applyBorder="1" applyProtection="1"/>
    <xf numFmtId="0" fontId="4" fillId="21" borderId="88" xfId="0" applyFont="1" applyFill="1" applyBorder="1" applyProtection="1"/>
    <xf numFmtId="0" fontId="3" fillId="0" borderId="0" xfId="0" applyFont="1" applyProtection="1"/>
    <xf numFmtId="0" fontId="4" fillId="0" borderId="16" xfId="0" applyFont="1" applyFill="1" applyBorder="1" applyProtection="1"/>
    <xf numFmtId="0" fontId="4" fillId="0" borderId="17" xfId="0" applyFont="1" applyFill="1" applyBorder="1" applyAlignment="1" applyProtection="1">
      <alignment horizontal="center"/>
    </xf>
    <xf numFmtId="0" fontId="4" fillId="0" borderId="3" xfId="0" applyFont="1" applyFill="1" applyBorder="1" applyProtection="1"/>
    <xf numFmtId="0" fontId="4" fillId="0" borderId="2" xfId="0" applyFont="1" applyFill="1" applyBorder="1" applyAlignment="1" applyProtection="1">
      <alignment horizontal="center"/>
    </xf>
    <xf numFmtId="0" fontId="3" fillId="21" borderId="27" xfId="0" applyFont="1" applyFill="1" applyBorder="1" applyProtection="1"/>
    <xf numFmtId="0" fontId="4" fillId="21" borderId="0" xfId="0" applyFont="1" applyFill="1" applyBorder="1" applyProtection="1"/>
    <xf numFmtId="0" fontId="4" fillId="21" borderId="41" xfId="0" applyFont="1" applyFill="1" applyBorder="1" applyProtection="1"/>
    <xf numFmtId="0" fontId="4" fillId="21" borderId="55" xfId="0" applyFont="1" applyFill="1" applyBorder="1" applyProtection="1"/>
    <xf numFmtId="0" fontId="4" fillId="0" borderId="28" xfId="0" applyFont="1" applyFill="1" applyBorder="1" applyProtection="1"/>
    <xf numFmtId="0" fontId="4" fillId="0" borderId="18" xfId="0" applyFont="1" applyFill="1" applyBorder="1" applyAlignment="1" applyProtection="1">
      <alignment horizontal="center"/>
    </xf>
    <xf numFmtId="0" fontId="3" fillId="21" borderId="80" xfId="0" applyFont="1" applyFill="1" applyBorder="1" applyProtection="1"/>
    <xf numFmtId="0" fontId="4" fillId="0" borderId="4" xfId="0" applyFont="1" applyFill="1" applyBorder="1" applyProtection="1"/>
    <xf numFmtId="0" fontId="4" fillId="0" borderId="5" xfId="0" applyFont="1" applyFill="1" applyBorder="1" applyAlignment="1" applyProtection="1">
      <alignment horizontal="center"/>
    </xf>
    <xf numFmtId="0" fontId="3" fillId="21" borderId="49" xfId="0" applyFont="1" applyFill="1" applyBorder="1" applyProtection="1"/>
    <xf numFmtId="0" fontId="4" fillId="21" borderId="52" xfId="0" applyFont="1" applyFill="1" applyBorder="1" applyProtection="1"/>
    <xf numFmtId="0" fontId="4" fillId="0" borderId="2" xfId="0" applyFont="1" applyBorder="1" applyAlignment="1" applyProtection="1">
      <alignment horizontal="center"/>
    </xf>
    <xf numFmtId="0" fontId="4" fillId="0" borderId="4" xfId="0" applyFont="1" applyBorder="1" applyProtection="1"/>
    <xf numFmtId="0" fontId="4" fillId="0" borderId="5" xfId="0" applyFont="1" applyBorder="1" applyAlignment="1" applyProtection="1">
      <alignment horizontal="center"/>
    </xf>
    <xf numFmtId="9" fontId="4" fillId="0" borderId="0" xfId="0" applyNumberFormat="1" applyFont="1" applyBorder="1" applyProtection="1"/>
    <xf numFmtId="10" fontId="4" fillId="0" borderId="0" xfId="0" applyNumberFormat="1" applyFont="1" applyProtection="1"/>
    <xf numFmtId="9" fontId="4" fillId="0" borderId="8" xfId="0" applyNumberFormat="1" applyFont="1" applyBorder="1" applyProtection="1"/>
    <xf numFmtId="1" fontId="4" fillId="0" borderId="0" xfId="0" applyNumberFormat="1" applyFont="1" applyProtection="1"/>
    <xf numFmtId="0" fontId="13" fillId="0" borderId="16" xfId="0" applyFont="1" applyBorder="1" applyProtection="1"/>
    <xf numFmtId="0" fontId="13" fillId="0" borderId="17" xfId="0" applyFont="1" applyFill="1" applyBorder="1" applyAlignment="1" applyProtection="1">
      <alignment horizontal="center"/>
    </xf>
    <xf numFmtId="0" fontId="13" fillId="0" borderId="3" xfId="0" applyFont="1" applyBorder="1" applyProtection="1"/>
    <xf numFmtId="0" fontId="13" fillId="0" borderId="2" xfId="0" applyFont="1" applyFill="1" applyBorder="1" applyAlignment="1" applyProtection="1">
      <alignment horizontal="center"/>
    </xf>
    <xf numFmtId="0" fontId="13" fillId="0" borderId="4" xfId="0" applyFont="1" applyBorder="1" applyProtection="1"/>
    <xf numFmtId="0" fontId="13" fillId="0" borderId="5" xfId="0" applyFont="1" applyFill="1" applyBorder="1" applyAlignment="1" applyProtection="1">
      <alignment horizontal="center"/>
    </xf>
    <xf numFmtId="0" fontId="3" fillId="0" borderId="26" xfId="0" applyFont="1" applyBorder="1" applyProtection="1"/>
    <xf numFmtId="0" fontId="4" fillId="0" borderId="0" xfId="0" applyFont="1" applyBorder="1" applyAlignment="1" applyProtection="1">
      <alignment horizontal="center"/>
    </xf>
    <xf numFmtId="43" fontId="4" fillId="0" borderId="0" xfId="2" applyFont="1" applyBorder="1" applyProtection="1"/>
    <xf numFmtId="0" fontId="4" fillId="0" borderId="42" xfId="0" applyFont="1" applyBorder="1" applyProtection="1"/>
    <xf numFmtId="0" fontId="3" fillId="0" borderId="38" xfId="0" applyFont="1" applyBorder="1" applyAlignment="1" applyProtection="1">
      <alignment horizontal="left"/>
    </xf>
    <xf numFmtId="43" fontId="4" fillId="0" borderId="38" xfId="2" applyFont="1" applyBorder="1" applyProtection="1"/>
    <xf numFmtId="0" fontId="4" fillId="0" borderId="60" xfId="0" applyFont="1" applyBorder="1" applyProtection="1"/>
    <xf numFmtId="0" fontId="4" fillId="0" borderId="28" xfId="0" applyFont="1" applyBorder="1" applyProtection="1"/>
    <xf numFmtId="9" fontId="4" fillId="0" borderId="51" xfId="0" applyNumberFormat="1" applyFont="1" applyBorder="1" applyProtection="1"/>
    <xf numFmtId="0" fontId="3" fillId="0" borderId="34" xfId="0" applyFont="1" applyFill="1" applyBorder="1" applyAlignment="1" applyProtection="1">
      <alignment horizontal="left"/>
    </xf>
    <xf numFmtId="43" fontId="4" fillId="0" borderId="65" xfId="2" applyFont="1" applyFill="1" applyBorder="1" applyProtection="1"/>
    <xf numFmtId="9" fontId="4" fillId="0" borderId="60" xfId="0" applyNumberFormat="1" applyFont="1" applyBorder="1" applyProtection="1"/>
    <xf numFmtId="0" fontId="4" fillId="0" borderId="47" xfId="0" applyFont="1" applyBorder="1" applyAlignment="1" applyProtection="1">
      <alignment horizontal="center"/>
    </xf>
    <xf numFmtId="0" fontId="3" fillId="0" borderId="19" xfId="0" applyFont="1" applyBorder="1" applyProtection="1"/>
    <xf numFmtId="0" fontId="3" fillId="0" borderId="20" xfId="0" applyFont="1" applyBorder="1" applyAlignment="1" applyProtection="1">
      <alignment horizontal="center"/>
    </xf>
    <xf numFmtId="0" fontId="3" fillId="0" borderId="3" xfId="0" applyFont="1" applyBorder="1" applyProtection="1"/>
    <xf numFmtId="0" fontId="4" fillId="0" borderId="17" xfId="0" applyFont="1" applyBorder="1" applyAlignment="1" applyProtection="1">
      <alignment horizontal="center"/>
    </xf>
    <xf numFmtId="0" fontId="3" fillId="0" borderId="46" xfId="0" applyFont="1" applyFill="1" applyBorder="1" applyProtection="1"/>
    <xf numFmtId="0" fontId="4" fillId="0" borderId="47" xfId="0" applyFont="1" applyFill="1" applyBorder="1" applyAlignment="1" applyProtection="1">
      <alignment horizontal="center"/>
    </xf>
    <xf numFmtId="0" fontId="3" fillId="0" borderId="3" xfId="0" applyFont="1" applyFill="1" applyBorder="1" applyProtection="1"/>
    <xf numFmtId="0" fontId="4" fillId="17" borderId="71" xfId="0" applyFont="1" applyFill="1" applyBorder="1" applyProtection="1"/>
    <xf numFmtId="43" fontId="4" fillId="0" borderId="21" xfId="2" applyFont="1" applyFill="1" applyBorder="1" applyProtection="1"/>
    <xf numFmtId="43" fontId="4" fillId="0" borderId="9" xfId="2" applyFont="1" applyFill="1" applyBorder="1" applyProtection="1"/>
    <xf numFmtId="43" fontId="4" fillId="0" borderId="10" xfId="2" applyFont="1" applyFill="1" applyBorder="1" applyProtection="1"/>
    <xf numFmtId="9" fontId="4" fillId="0" borderId="36" xfId="2" applyNumberFormat="1" applyFont="1" applyFill="1" applyBorder="1" applyProtection="1"/>
    <xf numFmtId="0" fontId="4" fillId="0" borderId="0" xfId="0" applyFont="1" applyFill="1" applyBorder="1" applyAlignment="1" applyProtection="1">
      <alignment horizontal="center"/>
    </xf>
    <xf numFmtId="43" fontId="4" fillId="0" borderId="0" xfId="2" applyFont="1" applyFill="1" applyBorder="1" applyProtection="1"/>
    <xf numFmtId="0" fontId="4" fillId="0" borderId="0" xfId="0" applyFont="1" applyFill="1" applyAlignment="1" applyProtection="1">
      <alignment horizontal="center"/>
    </xf>
    <xf numFmtId="0" fontId="3" fillId="2" borderId="37" xfId="0" applyFont="1" applyFill="1" applyBorder="1" applyProtection="1"/>
    <xf numFmtId="0" fontId="4" fillId="2" borderId="38" xfId="0" applyFont="1" applyFill="1" applyBorder="1" applyProtection="1"/>
    <xf numFmtId="0" fontId="4" fillId="2" borderId="39" xfId="0" applyFont="1" applyFill="1" applyBorder="1" applyProtection="1"/>
    <xf numFmtId="0" fontId="4" fillId="0" borderId="26" xfId="0" applyFont="1" applyBorder="1" applyProtection="1"/>
    <xf numFmtId="43" fontId="3" fillId="0" borderId="19" xfId="0" applyNumberFormat="1" applyFont="1" applyBorder="1" applyAlignment="1" applyProtection="1">
      <alignment horizontal="left"/>
    </xf>
    <xf numFmtId="43" fontId="3" fillId="0" borderId="20" xfId="0" applyNumberFormat="1" applyFont="1" applyBorder="1" applyAlignment="1" applyProtection="1">
      <alignment horizontal="center"/>
    </xf>
    <xf numFmtId="166" fontId="3" fillId="0" borderId="33" xfId="0" applyNumberFormat="1" applyFont="1" applyBorder="1" applyAlignment="1" applyProtection="1">
      <alignment horizontal="center"/>
    </xf>
    <xf numFmtId="43" fontId="4" fillId="0" borderId="47" xfId="0" applyNumberFormat="1" applyFont="1" applyBorder="1" applyAlignment="1" applyProtection="1">
      <alignment horizontal="left"/>
    </xf>
    <xf numFmtId="43" fontId="4" fillId="0" borderId="47" xfId="0" applyNumberFormat="1" applyFont="1" applyBorder="1" applyAlignment="1" applyProtection="1">
      <alignment horizontal="center"/>
    </xf>
    <xf numFmtId="166" fontId="4" fillId="0" borderId="53" xfId="0" applyNumberFormat="1" applyFont="1" applyBorder="1" applyAlignment="1" applyProtection="1">
      <alignment horizontal="center"/>
    </xf>
    <xf numFmtId="43" fontId="4" fillId="0" borderId="2" xfId="0" applyNumberFormat="1" applyFont="1" applyBorder="1" applyAlignment="1" applyProtection="1">
      <alignment horizontal="left"/>
    </xf>
    <xf numFmtId="43" fontId="4" fillId="0" borderId="2" xfId="0" applyNumberFormat="1" applyFont="1" applyBorder="1" applyAlignment="1" applyProtection="1">
      <alignment horizontal="center"/>
    </xf>
    <xf numFmtId="166" fontId="4" fillId="0" borderId="9" xfId="0" applyNumberFormat="1" applyFont="1" applyBorder="1" applyAlignment="1" applyProtection="1">
      <alignment horizontal="center"/>
    </xf>
    <xf numFmtId="0" fontId="4" fillId="0" borderId="7" xfId="0" applyFont="1" applyBorder="1" applyProtection="1"/>
    <xf numFmtId="43" fontId="4" fillId="0" borderId="5" xfId="0" applyNumberFormat="1" applyFont="1" applyBorder="1" applyAlignment="1" applyProtection="1">
      <alignment horizontal="left"/>
    </xf>
    <xf numFmtId="43" fontId="4" fillId="0" borderId="5" xfId="0" applyNumberFormat="1" applyFont="1" applyBorder="1" applyAlignment="1" applyProtection="1">
      <alignment horizontal="center"/>
    </xf>
    <xf numFmtId="166" fontId="4" fillId="0" borderId="10" xfId="0" applyNumberFormat="1" applyFont="1" applyBorder="1" applyAlignment="1" applyProtection="1">
      <alignment horizontal="center"/>
    </xf>
    <xf numFmtId="43" fontId="4" fillId="2" borderId="38" xfId="0" applyNumberFormat="1" applyFont="1" applyFill="1" applyBorder="1" applyAlignment="1" applyProtection="1">
      <alignment horizontal="center"/>
    </xf>
    <xf numFmtId="166" fontId="4" fillId="2" borderId="39" xfId="0" applyNumberFormat="1" applyFont="1" applyFill="1" applyBorder="1" applyAlignment="1" applyProtection="1">
      <alignment horizontal="center"/>
    </xf>
    <xf numFmtId="43" fontId="4" fillId="0" borderId="0" xfId="0" applyNumberFormat="1" applyFont="1" applyFill="1" applyBorder="1" applyAlignment="1" applyProtection="1">
      <alignment horizontal="center"/>
    </xf>
    <xf numFmtId="0" fontId="4" fillId="0" borderId="2" xfId="0" applyFont="1" applyBorder="1" applyProtection="1"/>
    <xf numFmtId="43" fontId="4" fillId="0" borderId="0" xfId="0" applyNumberFormat="1" applyFont="1" applyFill="1" applyBorder="1" applyProtection="1"/>
    <xf numFmtId="43" fontId="4" fillId="0" borderId="0" xfId="0" applyNumberFormat="1" applyFont="1" applyBorder="1" applyAlignment="1" applyProtection="1">
      <alignment horizontal="center"/>
    </xf>
    <xf numFmtId="0" fontId="4" fillId="0" borderId="18" xfId="0" applyFont="1" applyBorder="1" applyProtection="1"/>
    <xf numFmtId="166" fontId="4" fillId="0" borderId="36" xfId="0" applyNumberFormat="1" applyFont="1" applyBorder="1" applyProtection="1"/>
    <xf numFmtId="0" fontId="4" fillId="0" borderId="5" xfId="0" applyFont="1" applyBorder="1" applyProtection="1"/>
    <xf numFmtId="166" fontId="4" fillId="0" borderId="10" xfId="0" applyNumberFormat="1" applyFont="1" applyBorder="1" applyProtection="1"/>
    <xf numFmtId="0" fontId="4" fillId="2" borderId="19" xfId="0" applyFont="1" applyFill="1" applyBorder="1" applyProtection="1"/>
    <xf numFmtId="0" fontId="4" fillId="2" borderId="23" xfId="0" applyFont="1" applyFill="1" applyBorder="1" applyAlignment="1" applyProtection="1">
      <alignment horizontal="center" wrapText="1"/>
    </xf>
    <xf numFmtId="0" fontId="4" fillId="2" borderId="20" xfId="0" applyFont="1" applyFill="1" applyBorder="1" applyAlignment="1" applyProtection="1">
      <alignment horizontal="center" wrapText="1"/>
    </xf>
    <xf numFmtId="0" fontId="4" fillId="2" borderId="35" xfId="0" applyFont="1" applyFill="1" applyBorder="1" applyAlignment="1" applyProtection="1">
      <alignment horizontal="center"/>
    </xf>
    <xf numFmtId="0" fontId="4" fillId="2" borderId="58" xfId="0" applyFont="1" applyFill="1" applyBorder="1" applyAlignment="1" applyProtection="1">
      <alignment horizontal="center"/>
    </xf>
    <xf numFmtId="0" fontId="4" fillId="2" borderId="35" xfId="0" applyFont="1" applyFill="1" applyBorder="1" applyAlignment="1" applyProtection="1">
      <alignment horizontal="center" wrapText="1"/>
    </xf>
    <xf numFmtId="0" fontId="4" fillId="2" borderId="58" xfId="0" applyFont="1" applyFill="1" applyBorder="1" applyAlignment="1" applyProtection="1">
      <alignment horizontal="center" wrapText="1"/>
    </xf>
    <xf numFmtId="0" fontId="4" fillId="2" borderId="33" xfId="0" applyFont="1" applyFill="1" applyBorder="1" applyAlignment="1" applyProtection="1">
      <alignment horizontal="center"/>
    </xf>
    <xf numFmtId="0" fontId="36" fillId="0" borderId="0" xfId="1" applyAlignment="1" applyProtection="1">
      <alignment horizontal="right"/>
    </xf>
    <xf numFmtId="0" fontId="1" fillId="0" borderId="0" xfId="0" applyFont="1" applyProtection="1"/>
    <xf numFmtId="0" fontId="0" fillId="0" borderId="0" xfId="0" applyProtection="1"/>
    <xf numFmtId="0" fontId="0" fillId="0" borderId="0" xfId="0" applyBorder="1" applyProtection="1"/>
    <xf numFmtId="0" fontId="36" fillId="0" borderId="0" xfId="1" applyAlignment="1" applyProtection="1">
      <alignment horizontal="center"/>
    </xf>
    <xf numFmtId="0" fontId="4" fillId="0" borderId="46" xfId="0" applyFont="1" applyBorder="1" applyAlignment="1" applyProtection="1">
      <alignment horizontal="left" indent="2"/>
    </xf>
    <xf numFmtId="0" fontId="4" fillId="0" borderId="47" xfId="0" applyFont="1" applyBorder="1" applyAlignment="1" applyProtection="1">
      <alignment horizontal="left" indent="2"/>
    </xf>
    <xf numFmtId="43" fontId="4" fillId="0" borderId="47" xfId="0" applyNumberFormat="1" applyFont="1" applyFill="1" applyBorder="1" applyAlignment="1" applyProtection="1">
      <alignment horizontal="left" indent="2"/>
    </xf>
    <xf numFmtId="166" fontId="4" fillId="0" borderId="47" xfId="2" applyNumberFormat="1" applyFont="1" applyFill="1" applyBorder="1" applyAlignment="1" applyProtection="1">
      <alignment horizontal="center"/>
    </xf>
    <xf numFmtId="0" fontId="13" fillId="0" borderId="47" xfId="0" applyFont="1" applyBorder="1" applyProtection="1"/>
    <xf numFmtId="166" fontId="4" fillId="0" borderId="53" xfId="2" applyNumberFormat="1" applyFont="1" applyBorder="1" applyAlignment="1" applyProtection="1">
      <alignment horizontal="center"/>
    </xf>
    <xf numFmtId="0" fontId="11" fillId="0" borderId="0" xfId="0" applyFont="1" applyProtection="1"/>
    <xf numFmtId="0" fontId="0" fillId="0" borderId="2" xfId="0" applyBorder="1" applyProtection="1"/>
    <xf numFmtId="0" fontId="4" fillId="0" borderId="3" xfId="0" applyFont="1" applyBorder="1" applyAlignment="1" applyProtection="1">
      <alignment horizontal="left" indent="2"/>
    </xf>
    <xf numFmtId="0" fontId="4" fillId="0" borderId="2" xfId="0" applyFont="1" applyBorder="1" applyAlignment="1" applyProtection="1">
      <alignment horizontal="left" indent="2"/>
    </xf>
    <xf numFmtId="0" fontId="13" fillId="0" borderId="2" xfId="0" applyFont="1" applyBorder="1" applyProtection="1"/>
    <xf numFmtId="166" fontId="4" fillId="0" borderId="9" xfId="2" applyNumberFormat="1" applyFont="1" applyBorder="1" applyAlignment="1" applyProtection="1">
      <alignment horizontal="center"/>
    </xf>
    <xf numFmtId="2" fontId="11" fillId="0" borderId="0" xfId="0" applyNumberFormat="1" applyFont="1" applyBorder="1" applyProtection="1"/>
    <xf numFmtId="0" fontId="0" fillId="0" borderId="2" xfId="0" applyFill="1" applyBorder="1" applyProtection="1"/>
    <xf numFmtId="2" fontId="0" fillId="15" borderId="2" xfId="0" applyNumberFormat="1" applyFill="1" applyBorder="1" applyProtection="1"/>
    <xf numFmtId="0" fontId="4" fillId="0" borderId="15" xfId="0" applyFont="1" applyBorder="1" applyAlignment="1" applyProtection="1">
      <alignment horizontal="left" indent="2"/>
    </xf>
    <xf numFmtId="0" fontId="4" fillId="0" borderId="76" xfId="0" applyFont="1" applyBorder="1" applyAlignment="1" applyProtection="1">
      <alignment horizontal="left" indent="2"/>
    </xf>
    <xf numFmtId="0" fontId="13" fillId="0" borderId="76" xfId="0" applyFont="1" applyBorder="1" applyProtection="1"/>
    <xf numFmtId="166" fontId="4" fillId="0" borderId="12" xfId="2" applyNumberFormat="1" applyFont="1" applyBorder="1" applyAlignment="1" applyProtection="1">
      <alignment horizontal="center"/>
    </xf>
    <xf numFmtId="1" fontId="0" fillId="0" borderId="2" xfId="0" applyNumberFormat="1" applyBorder="1" applyProtection="1"/>
    <xf numFmtId="43" fontId="4" fillId="0" borderId="47" xfId="0" applyNumberFormat="1" applyFont="1" applyFill="1" applyBorder="1" applyAlignment="1" applyProtection="1">
      <alignment horizontal="right"/>
    </xf>
    <xf numFmtId="166" fontId="4" fillId="0" borderId="47" xfId="0" applyNumberFormat="1" applyFont="1" applyFill="1" applyBorder="1" applyAlignment="1" applyProtection="1">
      <alignment horizontal="center"/>
    </xf>
    <xf numFmtId="43" fontId="13" fillId="0" borderId="2" xfId="0" applyNumberFormat="1" applyFont="1" applyBorder="1" applyProtection="1"/>
    <xf numFmtId="166" fontId="4" fillId="0" borderId="2" xfId="2" applyNumberFormat="1" applyFont="1" applyFill="1" applyBorder="1" applyAlignment="1" applyProtection="1">
      <alignment horizontal="center"/>
    </xf>
    <xf numFmtId="43" fontId="4" fillId="0" borderId="6" xfId="2" applyFont="1" applyFill="1" applyBorder="1" applyAlignment="1" applyProtection="1">
      <alignment horizontal="center"/>
    </xf>
    <xf numFmtId="0" fontId="13" fillId="0" borderId="2" xfId="0" applyFont="1" applyFill="1" applyBorder="1" applyProtection="1"/>
    <xf numFmtId="43" fontId="4" fillId="0" borderId="2" xfId="2" applyFont="1" applyFill="1" applyBorder="1" applyAlignment="1" applyProtection="1">
      <alignment horizontal="center"/>
    </xf>
    <xf numFmtId="0" fontId="3" fillId="2" borderId="4" xfId="0" applyFont="1" applyFill="1" applyBorder="1" applyAlignment="1" applyProtection="1">
      <alignment horizontal="left" indent="2"/>
    </xf>
    <xf numFmtId="0" fontId="3" fillId="2" borderId="5" xfId="0" applyFont="1" applyFill="1" applyBorder="1" applyAlignment="1" applyProtection="1">
      <alignment horizontal="left" indent="2"/>
    </xf>
    <xf numFmtId="0" fontId="3" fillId="2" borderId="5" xfId="0" applyFont="1" applyFill="1" applyBorder="1" applyProtection="1"/>
    <xf numFmtId="43" fontId="3" fillId="2" borderId="5" xfId="2" applyFont="1" applyFill="1" applyBorder="1" applyAlignment="1" applyProtection="1">
      <alignment horizontal="center"/>
    </xf>
    <xf numFmtId="43" fontId="3" fillId="2" borderId="40" xfId="2" applyFont="1" applyFill="1" applyBorder="1" applyAlignment="1" applyProtection="1">
      <alignment horizontal="center"/>
    </xf>
    <xf numFmtId="166" fontId="3" fillId="2" borderId="10" xfId="2" applyNumberFormat="1" applyFont="1" applyFill="1" applyBorder="1" applyAlignment="1" applyProtection="1">
      <alignment horizontal="center"/>
    </xf>
    <xf numFmtId="43" fontId="4" fillId="0" borderId="0" xfId="2" applyFont="1" applyBorder="1" applyAlignment="1" applyProtection="1">
      <alignment horizontal="center"/>
    </xf>
    <xf numFmtId="0" fontId="4" fillId="0" borderId="0" xfId="0" applyFont="1" applyAlignment="1" applyProtection="1">
      <alignment wrapText="1"/>
    </xf>
    <xf numFmtId="0" fontId="6" fillId="0" borderId="0" xfId="0" applyFont="1" applyAlignment="1" applyProtection="1">
      <alignment horizontal="center"/>
    </xf>
    <xf numFmtId="0" fontId="6" fillId="0" borderId="0" xfId="0" applyFont="1" applyFill="1" applyAlignment="1" applyProtection="1">
      <alignment horizontal="center"/>
    </xf>
    <xf numFmtId="0" fontId="5" fillId="0" borderId="0" xfId="0" applyFont="1" applyBorder="1" applyProtection="1"/>
    <xf numFmtId="0" fontId="6" fillId="0" borderId="8" xfId="0" applyFont="1" applyBorder="1" applyProtection="1"/>
    <xf numFmtId="0" fontId="5" fillId="0" borderId="8" xfId="0" applyFont="1" applyBorder="1" applyProtection="1"/>
    <xf numFmtId="0" fontId="6" fillId="0" borderId="8" xfId="0" applyFont="1" applyBorder="1" applyAlignment="1" applyProtection="1">
      <alignment horizontal="center"/>
    </xf>
    <xf numFmtId="0" fontId="6" fillId="0" borderId="8" xfId="0" applyFont="1" applyFill="1" applyBorder="1" applyAlignment="1" applyProtection="1">
      <alignment horizontal="center"/>
    </xf>
    <xf numFmtId="0" fontId="6" fillId="0" borderId="37" xfId="0" applyFont="1" applyBorder="1" applyProtection="1"/>
    <xf numFmtId="0" fontId="6" fillId="0" borderId="38" xfId="0" applyFont="1" applyBorder="1" applyProtection="1"/>
    <xf numFmtId="0" fontId="5" fillId="0" borderId="66" xfId="0" applyFont="1" applyBorder="1" applyAlignment="1" applyProtection="1">
      <alignment horizontal="center" wrapText="1"/>
    </xf>
    <xf numFmtId="0" fontId="5" fillId="0" borderId="66" xfId="0" applyFont="1" applyFill="1" applyBorder="1" applyAlignment="1" applyProtection="1">
      <alignment horizontal="center" wrapText="1"/>
    </xf>
    <xf numFmtId="0" fontId="5" fillId="0" borderId="67" xfId="0" applyFont="1" applyFill="1" applyBorder="1" applyAlignment="1" applyProtection="1">
      <alignment horizontal="center" wrapText="1"/>
    </xf>
    <xf numFmtId="0" fontId="36" fillId="0" borderId="0" xfId="1" applyFill="1" applyBorder="1" applyAlignment="1" applyProtection="1">
      <alignment horizontal="right" wrapText="1"/>
    </xf>
    <xf numFmtId="0" fontId="5" fillId="2" borderId="2" xfId="0" applyFont="1" applyFill="1" applyBorder="1" applyAlignment="1" applyProtection="1"/>
    <xf numFmtId="0" fontId="5" fillId="2" borderId="2" xfId="0" applyFont="1" applyFill="1" applyBorder="1" applyAlignment="1" applyProtection="1">
      <alignment horizontal="center"/>
    </xf>
    <xf numFmtId="0" fontId="5" fillId="0" borderId="0" xfId="0" applyFont="1" applyFill="1" applyBorder="1" applyAlignment="1" applyProtection="1">
      <alignment horizontal="center" wrapText="1"/>
    </xf>
    <xf numFmtId="166" fontId="5" fillId="2" borderId="20" xfId="2" applyNumberFormat="1" applyFont="1" applyFill="1" applyBorder="1" applyAlignment="1" applyProtection="1">
      <alignment horizontal="center"/>
    </xf>
    <xf numFmtId="0" fontId="6" fillId="2" borderId="20" xfId="0" applyFont="1" applyFill="1" applyBorder="1" applyAlignment="1" applyProtection="1">
      <alignment horizontal="center"/>
    </xf>
    <xf numFmtId="167" fontId="6" fillId="2" borderId="20" xfId="3" applyNumberFormat="1" applyFont="1" applyFill="1" applyBorder="1" applyAlignment="1" applyProtection="1">
      <alignment horizontal="center"/>
    </xf>
    <xf numFmtId="166" fontId="6" fillId="2" borderId="20" xfId="2" applyNumberFormat="1" applyFont="1" applyFill="1" applyBorder="1" applyAlignment="1" applyProtection="1">
      <alignment horizontal="center"/>
    </xf>
    <xf numFmtId="0" fontId="6" fillId="2" borderId="20" xfId="0" applyFont="1" applyFill="1" applyBorder="1" applyProtection="1"/>
    <xf numFmtId="166" fontId="6" fillId="2" borderId="33" xfId="2" applyNumberFormat="1" applyFont="1" applyFill="1" applyBorder="1" applyAlignment="1" applyProtection="1">
      <alignment horizontal="center"/>
    </xf>
    <xf numFmtId="166" fontId="6" fillId="0" borderId="0" xfId="2" applyNumberFormat="1" applyFont="1" applyFill="1" applyBorder="1" applyAlignment="1" applyProtection="1">
      <alignment horizontal="right"/>
    </xf>
    <xf numFmtId="166" fontId="6" fillId="0" borderId="2" xfId="2" applyNumberFormat="1" applyFont="1" applyFill="1" applyBorder="1" applyAlignment="1" applyProtection="1">
      <alignment horizontal="center"/>
    </xf>
    <xf numFmtId="43" fontId="6" fillId="0" borderId="0" xfId="2" applyFont="1" applyProtection="1"/>
    <xf numFmtId="166" fontId="6" fillId="11" borderId="47" xfId="2" applyNumberFormat="1" applyFont="1" applyFill="1" applyBorder="1" applyAlignment="1" applyProtection="1">
      <alignment horizontal="center"/>
    </xf>
    <xf numFmtId="0" fontId="6" fillId="11" borderId="47" xfId="0" applyFont="1" applyFill="1" applyBorder="1" applyAlignment="1" applyProtection="1">
      <alignment horizontal="center"/>
    </xf>
    <xf numFmtId="166" fontId="6" fillId="11" borderId="53" xfId="2" applyNumberFormat="1" applyFont="1" applyFill="1" applyBorder="1" applyAlignment="1" applyProtection="1">
      <alignment horizontal="center"/>
    </xf>
    <xf numFmtId="167" fontId="6" fillId="0" borderId="2" xfId="2" applyNumberFormat="1" applyFont="1" applyFill="1" applyBorder="1" applyAlignment="1" applyProtection="1">
      <alignment horizontal="center"/>
    </xf>
    <xf numFmtId="0" fontId="6" fillId="0" borderId="16" xfId="0" applyFont="1" applyBorder="1" applyProtection="1"/>
    <xf numFmtId="9" fontId="6" fillId="0" borderId="21" xfId="3" applyFont="1" applyBorder="1" applyProtection="1"/>
    <xf numFmtId="0" fontId="7" fillId="0" borderId="3" xfId="0" applyFont="1" applyBorder="1" applyProtection="1"/>
    <xf numFmtId="166" fontId="6" fillId="0" borderId="2" xfId="0" applyNumberFormat="1" applyFont="1" applyBorder="1" applyProtection="1"/>
    <xf numFmtId="166" fontId="6" fillId="0" borderId="80" xfId="0" applyNumberFormat="1" applyFont="1" applyBorder="1" applyProtection="1"/>
    <xf numFmtId="0" fontId="6" fillId="0" borderId="2" xfId="0" applyFont="1" applyBorder="1" applyProtection="1"/>
    <xf numFmtId="166" fontId="6" fillId="0" borderId="9" xfId="0" applyNumberFormat="1" applyFont="1" applyBorder="1" applyProtection="1"/>
    <xf numFmtId="166" fontId="6" fillId="0" borderId="0" xfId="0" applyNumberFormat="1" applyFont="1" applyFill="1" applyBorder="1" applyAlignment="1" applyProtection="1">
      <alignment horizontal="right"/>
    </xf>
    <xf numFmtId="0" fontId="6" fillId="0" borderId="3" xfId="0" applyFont="1" applyFill="1" applyBorder="1" applyProtection="1"/>
    <xf numFmtId="9" fontId="6" fillId="0" borderId="9" xfId="3" applyFont="1" applyBorder="1" applyProtection="1"/>
    <xf numFmtId="0" fontId="6" fillId="0" borderId="3" xfId="0" applyFont="1" applyBorder="1" applyAlignment="1" applyProtection="1">
      <alignment horizontal="right"/>
    </xf>
    <xf numFmtId="0" fontId="6" fillId="0" borderId="6" xfId="0" applyFont="1" applyBorder="1" applyProtection="1"/>
    <xf numFmtId="166" fontId="6" fillId="0" borderId="6" xfId="2" applyNumberFormat="1" applyFont="1" applyFill="1" applyBorder="1" applyAlignment="1" applyProtection="1">
      <alignment horizontal="center"/>
    </xf>
    <xf numFmtId="166" fontId="6" fillId="0" borderId="2" xfId="0" applyNumberFormat="1" applyFont="1" applyFill="1" applyBorder="1" applyAlignment="1" applyProtection="1">
      <alignment horizontal="center"/>
    </xf>
    <xf numFmtId="166" fontId="6" fillId="0" borderId="9" xfId="0" applyNumberFormat="1" applyFont="1" applyFill="1" applyBorder="1" applyAlignment="1" applyProtection="1">
      <alignment horizontal="center"/>
    </xf>
    <xf numFmtId="0" fontId="5" fillId="0" borderId="2" xfId="0" applyFont="1" applyFill="1" applyBorder="1" applyAlignment="1" applyProtection="1">
      <alignment horizontal="center" wrapText="1"/>
    </xf>
    <xf numFmtId="0" fontId="6" fillId="0" borderId="0" xfId="0" applyFont="1" applyBorder="1" applyAlignment="1" applyProtection="1">
      <alignment horizontal="center"/>
    </xf>
    <xf numFmtId="0" fontId="6" fillId="0" borderId="3" xfId="0" applyFont="1" applyBorder="1" applyProtection="1"/>
    <xf numFmtId="9" fontId="6" fillId="0" borderId="21" xfId="3" applyFont="1" applyFill="1" applyBorder="1" applyAlignment="1" applyProtection="1">
      <alignment horizontal="right"/>
    </xf>
    <xf numFmtId="16" fontId="6" fillId="0" borderId="3" xfId="0" applyNumberFormat="1" applyFont="1" applyBorder="1" applyAlignment="1" applyProtection="1">
      <alignment horizontal="right"/>
    </xf>
    <xf numFmtId="166" fontId="36" fillId="0" borderId="0" xfId="1" applyNumberFormat="1" applyFill="1" applyBorder="1" applyAlignment="1" applyProtection="1">
      <alignment horizontal="right"/>
    </xf>
    <xf numFmtId="0" fontId="5" fillId="2" borderId="2" xfId="0" applyFont="1" applyFill="1" applyBorder="1" applyAlignment="1" applyProtection="1">
      <alignment horizontal="left"/>
    </xf>
    <xf numFmtId="0" fontId="5" fillId="2" borderId="6" xfId="0" applyFont="1" applyFill="1" applyBorder="1" applyAlignment="1" applyProtection="1">
      <alignment horizontal="center"/>
    </xf>
    <xf numFmtId="0" fontId="5" fillId="2" borderId="2" xfId="0" applyFont="1" applyFill="1" applyBorder="1" applyAlignment="1" applyProtection="1">
      <alignment horizontal="center" wrapText="1"/>
    </xf>
    <xf numFmtId="0" fontId="6" fillId="0" borderId="19" xfId="0" applyFont="1" applyBorder="1" applyProtection="1"/>
    <xf numFmtId="9" fontId="6" fillId="0" borderId="33" xfId="0" applyNumberFormat="1" applyFont="1" applyBorder="1" applyProtection="1"/>
    <xf numFmtId="9" fontId="6" fillId="0" borderId="9" xfId="3" applyFont="1" applyFill="1" applyBorder="1" applyAlignment="1" applyProtection="1">
      <alignment horizontal="right"/>
    </xf>
    <xf numFmtId="166" fontId="6" fillId="0" borderId="2" xfId="0" applyNumberFormat="1" applyFont="1" applyFill="1" applyBorder="1" applyAlignment="1" applyProtection="1">
      <alignment horizontal="left"/>
    </xf>
    <xf numFmtId="10" fontId="6" fillId="0" borderId="2" xfId="0" applyNumberFormat="1" applyFont="1" applyFill="1" applyBorder="1" applyAlignment="1" applyProtection="1">
      <alignment horizontal="center"/>
    </xf>
    <xf numFmtId="166" fontId="6" fillId="0" borderId="2" xfId="2" applyNumberFormat="1" applyFont="1" applyBorder="1" applyProtection="1"/>
    <xf numFmtId="0" fontId="6" fillId="0" borderId="28" xfId="0" applyFont="1" applyFill="1" applyBorder="1" applyProtection="1"/>
    <xf numFmtId="0" fontId="6" fillId="0" borderId="36" xfId="3" applyNumberFormat="1" applyFont="1" applyFill="1" applyBorder="1" applyAlignment="1" applyProtection="1">
      <alignment horizontal="right"/>
    </xf>
    <xf numFmtId="9" fontId="6" fillId="0" borderId="33" xfId="0" applyNumberFormat="1" applyFont="1" applyFill="1" applyBorder="1" applyAlignment="1" applyProtection="1">
      <alignment horizontal="right"/>
    </xf>
    <xf numFmtId="0" fontId="6" fillId="0" borderId="28" xfId="0" applyFont="1" applyBorder="1" applyAlignment="1" applyProtection="1">
      <alignment horizontal="right"/>
    </xf>
    <xf numFmtId="0" fontId="5" fillId="2" borderId="18" xfId="0" applyFont="1" applyFill="1" applyBorder="1" applyAlignment="1" applyProtection="1">
      <alignment wrapText="1"/>
    </xf>
    <xf numFmtId="9" fontId="6" fillId="0" borderId="0" xfId="0" applyNumberFormat="1" applyFont="1" applyFill="1" applyBorder="1" applyAlignment="1" applyProtection="1">
      <alignment horizontal="right"/>
    </xf>
    <xf numFmtId="0" fontId="5" fillId="2" borderId="47" xfId="0" applyFont="1" applyFill="1" applyBorder="1" applyAlignment="1" applyProtection="1">
      <alignment wrapText="1"/>
    </xf>
    <xf numFmtId="166" fontId="6" fillId="0" borderId="27" xfId="2" applyNumberFormat="1" applyFont="1" applyFill="1" applyBorder="1" applyAlignment="1" applyProtection="1">
      <alignment horizontal="center"/>
    </xf>
    <xf numFmtId="166" fontId="6" fillId="0" borderId="18" xfId="0" applyNumberFormat="1" applyFont="1" applyFill="1" applyBorder="1" applyAlignment="1" applyProtection="1">
      <alignment horizontal="center"/>
    </xf>
    <xf numFmtId="166" fontId="6" fillId="0" borderId="36" xfId="0" applyNumberFormat="1" applyFont="1" applyFill="1" applyBorder="1" applyAlignment="1" applyProtection="1">
      <alignment horizontal="center"/>
    </xf>
    <xf numFmtId="0" fontId="7" fillId="0" borderId="16" xfId="0" applyFont="1" applyBorder="1" applyProtection="1"/>
    <xf numFmtId="0" fontId="5" fillId="0" borderId="17" xfId="0" applyFont="1" applyBorder="1" applyProtection="1"/>
    <xf numFmtId="166" fontId="5" fillId="0" borderId="17" xfId="2" applyNumberFormat="1" applyFont="1" applyBorder="1" applyAlignment="1" applyProtection="1">
      <alignment horizontal="center"/>
    </xf>
    <xf numFmtId="0" fontId="5" fillId="0" borderId="17" xfId="0" applyFont="1" applyFill="1" applyBorder="1" applyAlignment="1" applyProtection="1">
      <alignment horizontal="center"/>
    </xf>
    <xf numFmtId="166" fontId="6" fillId="0" borderId="34" xfId="0" applyNumberFormat="1" applyFont="1" applyFill="1" applyBorder="1" applyAlignment="1" applyProtection="1">
      <alignment horizontal="center"/>
    </xf>
    <xf numFmtId="166" fontId="5" fillId="0" borderId="21" xfId="2" applyNumberFormat="1" applyFont="1" applyBorder="1" applyAlignment="1" applyProtection="1">
      <alignment horizontal="center"/>
    </xf>
    <xf numFmtId="166" fontId="6" fillId="0" borderId="2" xfId="2" applyNumberFormat="1" applyFont="1" applyFill="1" applyBorder="1" applyAlignment="1" applyProtection="1">
      <alignment horizontal="left"/>
    </xf>
    <xf numFmtId="0" fontId="6" fillId="0" borderId="2" xfId="0" applyFont="1" applyFill="1" applyBorder="1" applyProtection="1"/>
    <xf numFmtId="0" fontId="6" fillId="0" borderId="28" xfId="0" applyFont="1" applyBorder="1" applyProtection="1"/>
    <xf numFmtId="166" fontId="6" fillId="0" borderId="40" xfId="2" applyNumberFormat="1" applyFont="1" applyFill="1" applyBorder="1" applyAlignment="1" applyProtection="1">
      <alignment horizontal="center"/>
    </xf>
    <xf numFmtId="166" fontId="6" fillId="0" borderId="5" xfId="0" applyNumberFormat="1" applyFont="1" applyFill="1" applyBorder="1" applyAlignment="1" applyProtection="1">
      <alignment horizontal="center"/>
    </xf>
    <xf numFmtId="166" fontId="6" fillId="0" borderId="10" xfId="0" applyNumberFormat="1" applyFont="1" applyFill="1" applyBorder="1" applyAlignment="1" applyProtection="1">
      <alignment horizontal="center"/>
    </xf>
    <xf numFmtId="0" fontId="6" fillId="0" borderId="26" xfId="0" applyFont="1" applyFill="1" applyBorder="1" applyProtection="1"/>
    <xf numFmtId="0" fontId="6" fillId="0" borderId="68" xfId="0" applyFont="1" applyFill="1" applyBorder="1" applyProtection="1"/>
    <xf numFmtId="166" fontId="6" fillId="0" borderId="69" xfId="2" applyNumberFormat="1" applyFont="1" applyFill="1" applyBorder="1" applyAlignment="1" applyProtection="1">
      <alignment horizontal="center"/>
    </xf>
    <xf numFmtId="0" fontId="6" fillId="0" borderId="69" xfId="0" applyFont="1" applyFill="1" applyBorder="1" applyAlignment="1" applyProtection="1">
      <alignment horizontal="center"/>
    </xf>
    <xf numFmtId="10" fontId="6" fillId="0" borderId="69" xfId="3" applyNumberFormat="1" applyFont="1" applyFill="1" applyBorder="1" applyAlignment="1" applyProtection="1">
      <alignment horizontal="center"/>
    </xf>
    <xf numFmtId="166" fontId="6" fillId="0" borderId="80" xfId="0" applyNumberFormat="1" applyFont="1" applyFill="1" applyBorder="1" applyAlignment="1" applyProtection="1">
      <alignment horizontal="center"/>
    </xf>
    <xf numFmtId="166" fontId="6" fillId="0" borderId="69" xfId="0" applyNumberFormat="1" applyFont="1" applyFill="1" applyBorder="1" applyAlignment="1" applyProtection="1">
      <alignment horizontal="center"/>
    </xf>
    <xf numFmtId="10" fontId="6" fillId="0" borderId="68" xfId="0" applyNumberFormat="1" applyFont="1" applyFill="1" applyBorder="1" applyAlignment="1" applyProtection="1">
      <alignment horizontal="right"/>
    </xf>
    <xf numFmtId="166" fontId="6" fillId="0" borderId="70" xfId="0" applyNumberFormat="1" applyFont="1" applyFill="1" applyBorder="1" applyAlignment="1" applyProtection="1">
      <alignment horizontal="center"/>
    </xf>
    <xf numFmtId="166" fontId="6" fillId="11" borderId="20" xfId="2" applyNumberFormat="1" applyFont="1" applyFill="1" applyBorder="1" applyAlignment="1" applyProtection="1">
      <alignment horizontal="center"/>
    </xf>
    <xf numFmtId="0" fontId="6" fillId="11" borderId="20" xfId="0" applyFont="1" applyFill="1" applyBorder="1" applyAlignment="1" applyProtection="1">
      <alignment horizontal="center"/>
    </xf>
    <xf numFmtId="0" fontId="6" fillId="11" borderId="20" xfId="0" applyFont="1" applyFill="1" applyBorder="1" applyProtection="1"/>
    <xf numFmtId="166" fontId="6" fillId="11" borderId="33" xfId="2" applyNumberFormat="1" applyFont="1" applyFill="1" applyBorder="1" applyAlignment="1" applyProtection="1">
      <alignment horizontal="center"/>
    </xf>
    <xf numFmtId="0" fontId="7" fillId="0" borderId="81" xfId="0" applyFont="1" applyBorder="1" applyProtection="1"/>
    <xf numFmtId="0" fontId="6" fillId="0" borderId="57" xfId="0" applyFont="1" applyFill="1" applyBorder="1" applyProtection="1"/>
    <xf numFmtId="166" fontId="6" fillId="0" borderId="47" xfId="2" applyNumberFormat="1" applyFont="1" applyFill="1" applyBorder="1" applyAlignment="1" applyProtection="1">
      <alignment horizontal="center"/>
    </xf>
    <xf numFmtId="166" fontId="6" fillId="0" borderId="53" xfId="0" applyNumberFormat="1" applyFont="1" applyFill="1" applyBorder="1" applyAlignment="1" applyProtection="1">
      <alignment horizontal="center"/>
    </xf>
    <xf numFmtId="0" fontId="6" fillId="0" borderId="81" xfId="0" applyFont="1" applyFill="1" applyBorder="1" applyAlignment="1" applyProtection="1">
      <alignment horizontal="right"/>
    </xf>
    <xf numFmtId="0" fontId="6" fillId="0" borderId="11" xfId="0" applyFont="1" applyFill="1" applyBorder="1" applyProtection="1"/>
    <xf numFmtId="0" fontId="6" fillId="0" borderId="16" xfId="0" applyFont="1" applyFill="1" applyBorder="1" applyProtection="1"/>
    <xf numFmtId="9" fontId="6" fillId="0" borderId="21" xfId="3" applyFont="1" applyFill="1" applyBorder="1" applyProtection="1"/>
    <xf numFmtId="0" fontId="6" fillId="0" borderId="81" xfId="0" applyFont="1" applyBorder="1" applyAlignment="1" applyProtection="1">
      <alignment horizontal="right"/>
    </xf>
    <xf numFmtId="0" fontId="6" fillId="0" borderId="11" xfId="0" applyFont="1" applyBorder="1" applyProtection="1"/>
    <xf numFmtId="9" fontId="6" fillId="0" borderId="9" xfId="3" applyFont="1" applyFill="1" applyBorder="1" applyProtection="1"/>
    <xf numFmtId="0" fontId="6" fillId="0" borderId="46" xfId="0" applyFont="1" applyBorder="1" applyAlignment="1" applyProtection="1">
      <alignment horizontal="right"/>
    </xf>
    <xf numFmtId="9" fontId="6" fillId="0" borderId="0" xfId="3" applyFont="1" applyBorder="1" applyProtection="1"/>
    <xf numFmtId="9" fontId="6" fillId="0" borderId="36" xfId="3" applyFont="1" applyFill="1" applyBorder="1" applyProtection="1"/>
    <xf numFmtId="9" fontId="6" fillId="0" borderId="0" xfId="0" applyNumberFormat="1" applyFont="1" applyBorder="1" applyProtection="1"/>
    <xf numFmtId="166" fontId="6" fillId="0" borderId="0" xfId="0" applyNumberFormat="1" applyFont="1" applyProtection="1"/>
    <xf numFmtId="0" fontId="6" fillId="0" borderId="5" xfId="0" applyFont="1" applyBorder="1" applyProtection="1"/>
    <xf numFmtId="166" fontId="5" fillId="2" borderId="17" xfId="2" applyNumberFormat="1" applyFont="1" applyFill="1" applyBorder="1" applyAlignment="1" applyProtection="1">
      <alignment horizontal="center"/>
    </xf>
    <xf numFmtId="43" fontId="6" fillId="2" borderId="17" xfId="2" applyFont="1" applyFill="1" applyBorder="1" applyAlignment="1" applyProtection="1">
      <alignment horizontal="center"/>
    </xf>
    <xf numFmtId="166" fontId="5" fillId="2" borderId="34" xfId="2" applyNumberFormat="1" applyFont="1" applyFill="1" applyBorder="1" applyAlignment="1" applyProtection="1">
      <alignment horizontal="center"/>
    </xf>
    <xf numFmtId="166" fontId="5" fillId="2" borderId="21" xfId="2" applyNumberFormat="1" applyFont="1" applyFill="1" applyBorder="1" applyAlignment="1" applyProtection="1">
      <alignment horizontal="center"/>
    </xf>
    <xf numFmtId="0" fontId="6" fillId="0" borderId="4" xfId="0" applyFont="1" applyBorder="1" applyProtection="1"/>
    <xf numFmtId="166" fontId="6" fillId="0" borderId="5" xfId="2" applyNumberFormat="1" applyFont="1" applyBorder="1" applyAlignment="1" applyProtection="1">
      <alignment horizontal="center"/>
    </xf>
    <xf numFmtId="0" fontId="6" fillId="0" borderId="5" xfId="0" applyFont="1" applyFill="1" applyBorder="1" applyAlignment="1" applyProtection="1">
      <alignment horizontal="center"/>
    </xf>
    <xf numFmtId="167" fontId="6" fillId="0" borderId="5" xfId="3" applyNumberFormat="1" applyFont="1" applyBorder="1" applyAlignment="1" applyProtection="1">
      <alignment horizontal="center"/>
    </xf>
    <xf numFmtId="166" fontId="6" fillId="0" borderId="40" xfId="0" applyNumberFormat="1" applyFont="1" applyBorder="1" applyAlignment="1" applyProtection="1">
      <alignment horizontal="center"/>
    </xf>
    <xf numFmtId="166" fontId="6" fillId="0" borderId="2" xfId="0" applyNumberFormat="1" applyFont="1" applyBorder="1" applyAlignment="1" applyProtection="1">
      <alignment horizontal="center"/>
    </xf>
    <xf numFmtId="0" fontId="6" fillId="0" borderId="61" xfId="0" applyFont="1" applyBorder="1" applyProtection="1"/>
    <xf numFmtId="1" fontId="6" fillId="0" borderId="10" xfId="0" applyNumberFormat="1" applyFont="1" applyBorder="1" applyProtection="1"/>
    <xf numFmtId="1" fontId="6" fillId="0" borderId="0" xfId="0" applyNumberFormat="1" applyFont="1" applyFill="1" applyBorder="1" applyProtection="1"/>
    <xf numFmtId="43" fontId="6" fillId="0" borderId="0" xfId="0" applyNumberFormat="1" applyFont="1" applyProtection="1"/>
    <xf numFmtId="0" fontId="6" fillId="0" borderId="2" xfId="0" applyFont="1" applyFill="1" applyBorder="1" applyAlignment="1" applyProtection="1">
      <alignment horizontal="center"/>
    </xf>
    <xf numFmtId="166" fontId="6" fillId="0" borderId="6" xfId="0" applyNumberFormat="1" applyFont="1" applyFill="1" applyBorder="1" applyAlignment="1" applyProtection="1">
      <alignment horizontal="center"/>
    </xf>
    <xf numFmtId="1" fontId="6" fillId="0" borderId="9" xfId="0" applyNumberFormat="1" applyFont="1" applyFill="1" applyBorder="1" applyProtection="1"/>
    <xf numFmtId="0" fontId="6" fillId="0" borderId="18" xfId="0" applyFont="1" applyBorder="1" applyProtection="1"/>
    <xf numFmtId="166" fontId="6" fillId="0" borderId="18" xfId="2" applyNumberFormat="1" applyFont="1" applyFill="1" applyBorder="1" applyAlignment="1" applyProtection="1">
      <alignment horizontal="center"/>
    </xf>
    <xf numFmtId="0" fontId="6" fillId="0" borderId="27" xfId="0" applyFont="1" applyFill="1" applyBorder="1" applyAlignment="1" applyProtection="1">
      <alignment horizontal="center"/>
    </xf>
    <xf numFmtId="0" fontId="20" fillId="0" borderId="6" xfId="0" applyFont="1" applyFill="1" applyBorder="1" applyAlignment="1" applyProtection="1">
      <alignment horizontal="center"/>
    </xf>
    <xf numFmtId="166" fontId="6" fillId="0" borderId="0" xfId="2" applyNumberFormat="1" applyFont="1" applyFill="1" applyBorder="1" applyAlignment="1" applyProtection="1">
      <alignment horizontal="center"/>
    </xf>
    <xf numFmtId="0" fontId="6" fillId="0" borderId="18" xfId="0" applyFont="1" applyBorder="1" applyAlignment="1" applyProtection="1">
      <alignment horizontal="center"/>
    </xf>
    <xf numFmtId="0" fontId="20" fillId="0" borderId="27" xfId="0" applyFont="1" applyFill="1" applyBorder="1" applyAlignment="1" applyProtection="1">
      <alignment horizontal="center"/>
    </xf>
    <xf numFmtId="1" fontId="6" fillId="0" borderId="36" xfId="0" applyNumberFormat="1" applyFont="1" applyBorder="1" applyProtection="1"/>
    <xf numFmtId="166" fontId="5" fillId="2" borderId="22" xfId="0" applyNumberFormat="1" applyFont="1" applyFill="1" applyBorder="1" applyAlignment="1" applyProtection="1">
      <alignment horizontal="right"/>
    </xf>
    <xf numFmtId="0" fontId="5" fillId="2" borderId="58" xfId="0" applyFont="1" applyFill="1" applyBorder="1" applyAlignment="1" applyProtection="1">
      <alignment horizontal="right"/>
    </xf>
    <xf numFmtId="166" fontId="5" fillId="2" borderId="25" xfId="0" applyNumberFormat="1" applyFont="1" applyFill="1" applyBorder="1" applyAlignment="1" applyProtection="1">
      <alignment horizontal="right"/>
    </xf>
    <xf numFmtId="1" fontId="6" fillId="0" borderId="0" xfId="2" applyNumberFormat="1" applyFont="1" applyFill="1" applyBorder="1" applyAlignment="1" applyProtection="1">
      <alignment horizontal="center"/>
    </xf>
    <xf numFmtId="43" fontId="6" fillId="0" borderId="0" xfId="2" applyFont="1" applyAlignment="1" applyProtection="1">
      <alignment horizontal="center"/>
    </xf>
    <xf numFmtId="0" fontId="6" fillId="0" borderId="43" xfId="0" applyFont="1" applyBorder="1" applyProtection="1"/>
    <xf numFmtId="0" fontId="6" fillId="0" borderId="26" xfId="0" applyFont="1" applyBorder="1" applyProtection="1"/>
    <xf numFmtId="0" fontId="6" fillId="0" borderId="44" xfId="0" applyFont="1" applyBorder="1" applyProtection="1"/>
    <xf numFmtId="3" fontId="38" fillId="0" borderId="0" xfId="0" applyNumberFormat="1" applyFont="1" applyBorder="1" applyAlignment="1" applyProtection="1">
      <alignment horizontal="center" vertical="center" wrapText="1"/>
    </xf>
    <xf numFmtId="0" fontId="6" fillId="0" borderId="45" xfId="0" applyFont="1" applyBorder="1" applyProtection="1"/>
    <xf numFmtId="9" fontId="6" fillId="0" borderId="10" xfId="3" applyFont="1" applyBorder="1" applyProtection="1"/>
    <xf numFmtId="0" fontId="6" fillId="0" borderId="22" xfId="0" applyFont="1" applyBorder="1" applyProtection="1"/>
    <xf numFmtId="9" fontId="6" fillId="0" borderId="24" xfId="0" applyNumberFormat="1" applyFont="1" applyBorder="1" applyProtection="1"/>
    <xf numFmtId="0" fontId="6" fillId="17" borderId="27" xfId="0" applyFont="1" applyFill="1" applyBorder="1" applyProtection="1">
      <protection locked="0"/>
    </xf>
    <xf numFmtId="0" fontId="6" fillId="17" borderId="55" xfId="0" applyFont="1" applyFill="1" applyBorder="1" applyProtection="1">
      <protection locked="0"/>
    </xf>
    <xf numFmtId="0" fontId="6" fillId="17" borderId="61" xfId="0" applyFont="1" applyFill="1" applyBorder="1" applyProtection="1">
      <protection locked="0"/>
    </xf>
    <xf numFmtId="0" fontId="6" fillId="17" borderId="5" xfId="0" applyFont="1" applyFill="1" applyBorder="1" applyProtection="1">
      <protection locked="0"/>
    </xf>
    <xf numFmtId="0" fontId="6" fillId="17" borderId="11" xfId="0" applyFont="1" applyFill="1" applyBorder="1" applyProtection="1">
      <protection locked="0"/>
    </xf>
    <xf numFmtId="0" fontId="4" fillId="5" borderId="2" xfId="0" applyFont="1" applyFill="1" applyBorder="1" applyProtection="1">
      <protection locked="0"/>
    </xf>
    <xf numFmtId="0" fontId="4" fillId="5" borderId="5" xfId="0" applyFont="1" applyFill="1" applyBorder="1" applyProtection="1">
      <protection locked="0"/>
    </xf>
    <xf numFmtId="166" fontId="4" fillId="5" borderId="29" xfId="2" applyNumberFormat="1" applyFont="1" applyFill="1" applyBorder="1" applyAlignment="1" applyProtection="1">
      <alignment horizontal="center"/>
      <protection locked="0"/>
    </xf>
    <xf numFmtId="166" fontId="4" fillId="5" borderId="30" xfId="2" applyNumberFormat="1" applyFont="1" applyFill="1" applyBorder="1" applyAlignment="1" applyProtection="1">
      <alignment horizontal="center"/>
      <protection locked="0"/>
    </xf>
    <xf numFmtId="166" fontId="4" fillId="5" borderId="31" xfId="2" applyNumberFormat="1" applyFont="1" applyFill="1" applyBorder="1" applyAlignment="1" applyProtection="1">
      <alignment horizontal="center"/>
      <protection locked="0"/>
    </xf>
    <xf numFmtId="43" fontId="3" fillId="0" borderId="0" xfId="2" applyFont="1" applyAlignment="1" applyProtection="1">
      <alignment horizontal="center"/>
    </xf>
    <xf numFmtId="43" fontId="3" fillId="0" borderId="0" xfId="2" applyFont="1" applyFill="1" applyAlignment="1" applyProtection="1">
      <alignment horizontal="center"/>
    </xf>
    <xf numFmtId="0" fontId="23" fillId="2" borderId="59" xfId="0" applyFont="1" applyFill="1" applyBorder="1" applyProtection="1"/>
    <xf numFmtId="0" fontId="4" fillId="2" borderId="66" xfId="0" applyFont="1" applyFill="1" applyBorder="1" applyProtection="1"/>
    <xf numFmtId="166" fontId="3" fillId="0" borderId="67" xfId="2" applyNumberFormat="1" applyFont="1" applyBorder="1" applyAlignment="1" applyProtection="1">
      <alignment horizontal="center"/>
    </xf>
    <xf numFmtId="166" fontId="3" fillId="0" borderId="0" xfId="2" applyNumberFormat="1" applyFont="1" applyFill="1" applyBorder="1" applyAlignment="1" applyProtection="1">
      <alignment horizontal="center"/>
    </xf>
    <xf numFmtId="0" fontId="4" fillId="14" borderId="59" xfId="0" applyFont="1" applyFill="1" applyBorder="1" applyProtection="1"/>
    <xf numFmtId="0" fontId="21" fillId="14" borderId="66" xfId="0" applyFont="1" applyFill="1" applyBorder="1" applyAlignment="1" applyProtection="1">
      <alignment horizontal="center" vertical="center"/>
    </xf>
    <xf numFmtId="166" fontId="3" fillId="0" borderId="33" xfId="2" applyNumberFormat="1" applyFont="1" applyFill="1" applyBorder="1" applyAlignment="1" applyProtection="1">
      <alignment horizontal="center"/>
    </xf>
    <xf numFmtId="9" fontId="4" fillId="0" borderId="21" xfId="3" applyFont="1" applyBorder="1" applyAlignment="1" applyProtection="1">
      <alignment horizontal="center"/>
    </xf>
    <xf numFmtId="0" fontId="3" fillId="0" borderId="2" xfId="0" applyFont="1" applyFill="1" applyBorder="1" applyProtection="1"/>
    <xf numFmtId="166" fontId="3" fillId="0" borderId="21" xfId="2" applyNumberFormat="1" applyFont="1" applyBorder="1" applyAlignment="1" applyProtection="1">
      <alignment horizontal="center"/>
    </xf>
    <xf numFmtId="9" fontId="4" fillId="0" borderId="9" xfId="3" applyFont="1" applyBorder="1" applyAlignment="1" applyProtection="1">
      <alignment horizontal="center"/>
    </xf>
    <xf numFmtId="166" fontId="4" fillId="0" borderId="0" xfId="2" applyNumberFormat="1" applyFont="1" applyFill="1" applyBorder="1" applyAlignment="1" applyProtection="1">
      <alignment horizontal="center"/>
    </xf>
    <xf numFmtId="0" fontId="4" fillId="0" borderId="2" xfId="0" applyFont="1" applyFill="1" applyBorder="1" applyProtection="1"/>
    <xf numFmtId="166" fontId="4" fillId="0" borderId="9" xfId="2" applyNumberFormat="1" applyFont="1" applyFill="1" applyBorder="1" applyAlignment="1" applyProtection="1">
      <alignment horizontal="center"/>
    </xf>
    <xf numFmtId="0" fontId="3" fillId="0" borderId="4" xfId="0" applyFont="1" applyFill="1" applyBorder="1" applyProtection="1"/>
    <xf numFmtId="9" fontId="3" fillId="0" borderId="10" xfId="3" applyFont="1" applyBorder="1" applyAlignment="1" applyProtection="1">
      <alignment horizontal="center"/>
    </xf>
    <xf numFmtId="9" fontId="4" fillId="0" borderId="0" xfId="3" applyFont="1" applyBorder="1" applyAlignment="1" applyProtection="1">
      <alignment horizontal="right"/>
    </xf>
    <xf numFmtId="9" fontId="4" fillId="0" borderId="0" xfId="3" applyFont="1" applyBorder="1" applyAlignment="1" applyProtection="1">
      <alignment horizontal="center"/>
    </xf>
    <xf numFmtId="166" fontId="4" fillId="0" borderId="10" xfId="2" applyNumberFormat="1" applyFont="1" applyBorder="1" applyAlignment="1" applyProtection="1">
      <alignment horizontal="center"/>
    </xf>
    <xf numFmtId="166" fontId="3" fillId="0" borderId="0" xfId="2" applyNumberFormat="1" applyFont="1" applyFill="1" applyBorder="1" applyProtection="1"/>
    <xf numFmtId="0" fontId="4" fillId="0" borderId="46" xfId="0" applyFont="1" applyBorder="1" applyProtection="1"/>
    <xf numFmtId="0" fontId="3" fillId="0" borderId="47" xfId="0" applyFont="1" applyFill="1" applyBorder="1" applyProtection="1"/>
    <xf numFmtId="166" fontId="3" fillId="0" borderId="21" xfId="2" applyNumberFormat="1" applyFont="1" applyFill="1" applyBorder="1" applyProtection="1"/>
    <xf numFmtId="166" fontId="4" fillId="0" borderId="0" xfId="2" applyNumberFormat="1" applyFont="1" applyFill="1" applyBorder="1" applyProtection="1"/>
    <xf numFmtId="0" fontId="3" fillId="0" borderId="0" xfId="0" applyFont="1" applyBorder="1" applyProtection="1"/>
    <xf numFmtId="9" fontId="3" fillId="0" borderId="0" xfId="3" applyFont="1" applyBorder="1" applyAlignment="1" applyProtection="1">
      <alignment horizontal="center"/>
    </xf>
    <xf numFmtId="166" fontId="4" fillId="0" borderId="9" xfId="2" applyNumberFormat="1" applyFont="1" applyBorder="1" applyProtection="1"/>
    <xf numFmtId="0" fontId="17" fillId="0" borderId="0" xfId="0" applyFont="1" applyFill="1" applyBorder="1" applyProtection="1"/>
    <xf numFmtId="0" fontId="17" fillId="0" borderId="0" xfId="0" applyFont="1" applyFill="1" applyBorder="1" applyAlignment="1" applyProtection="1">
      <alignment horizontal="center"/>
    </xf>
    <xf numFmtId="0" fontId="16" fillId="0" borderId="0" xfId="0" applyFont="1" applyFill="1" applyBorder="1" applyProtection="1"/>
    <xf numFmtId="9" fontId="16" fillId="0" borderId="0" xfId="3" applyFont="1" applyFill="1" applyBorder="1" applyAlignment="1" applyProtection="1">
      <alignment horizontal="center"/>
    </xf>
    <xf numFmtId="0" fontId="4" fillId="0" borderId="18" xfId="0" applyFont="1" applyFill="1" applyBorder="1" applyProtection="1"/>
    <xf numFmtId="166" fontId="4" fillId="0" borderId="36" xfId="2" applyNumberFormat="1" applyFont="1" applyFill="1" applyBorder="1" applyProtection="1"/>
    <xf numFmtId="0" fontId="4" fillId="0" borderId="27" xfId="0" applyFont="1" applyFill="1" applyBorder="1" applyProtection="1"/>
    <xf numFmtId="0" fontId="4" fillId="0" borderId="40" xfId="0" applyFont="1" applyFill="1" applyBorder="1" applyProtection="1"/>
    <xf numFmtId="166" fontId="3" fillId="0" borderId="33" xfId="2" applyNumberFormat="1" applyFont="1" applyBorder="1" applyProtection="1"/>
    <xf numFmtId="0" fontId="3" fillId="0" borderId="16" xfId="0" applyFont="1" applyFill="1" applyBorder="1" applyProtection="1"/>
    <xf numFmtId="0" fontId="4" fillId="14" borderId="16" xfId="0" applyFont="1" applyFill="1" applyBorder="1" applyProtection="1"/>
    <xf numFmtId="0" fontId="21" fillId="14" borderId="17" xfId="0" applyFont="1" applyFill="1" applyBorder="1" applyAlignment="1" applyProtection="1">
      <alignment horizontal="center" vertical="center"/>
    </xf>
    <xf numFmtId="9" fontId="4" fillId="0" borderId="0" xfId="3" applyFont="1" applyFill="1" applyBorder="1" applyProtection="1"/>
    <xf numFmtId="9" fontId="4" fillId="0" borderId="10" xfId="3" applyFont="1" applyBorder="1" applyAlignment="1" applyProtection="1">
      <alignment horizontal="center"/>
    </xf>
    <xf numFmtId="0" fontId="4" fillId="0" borderId="5" xfId="0" applyFont="1" applyFill="1" applyBorder="1" applyProtection="1"/>
    <xf numFmtId="0" fontId="23" fillId="2" borderId="16" xfId="0" applyFont="1" applyFill="1" applyBorder="1" applyProtection="1"/>
    <xf numFmtId="0" fontId="4" fillId="2" borderId="17" xfId="0" applyFont="1" applyFill="1" applyBorder="1" applyProtection="1"/>
    <xf numFmtId="166" fontId="3" fillId="2" borderId="21" xfId="2" applyNumberFormat="1" applyFont="1" applyFill="1" applyBorder="1" applyProtection="1"/>
    <xf numFmtId="166" fontId="4" fillId="0" borderId="10" xfId="2" applyNumberFormat="1" applyFont="1" applyBorder="1" applyProtection="1"/>
    <xf numFmtId="166" fontId="4" fillId="0" borderId="0" xfId="2" applyNumberFormat="1" applyFont="1" applyBorder="1" applyProtection="1"/>
    <xf numFmtId="0" fontId="23" fillId="2" borderId="19" xfId="0" applyFont="1" applyFill="1" applyBorder="1" applyProtection="1"/>
    <xf numFmtId="0" fontId="23" fillId="2" borderId="20" xfId="0" applyFont="1" applyFill="1" applyBorder="1" applyProtection="1"/>
    <xf numFmtId="166" fontId="3" fillId="2" borderId="33" xfId="2" applyNumberFormat="1" applyFont="1" applyFill="1" applyBorder="1" applyProtection="1"/>
    <xf numFmtId="0" fontId="4" fillId="0" borderId="52" xfId="0" applyFont="1" applyBorder="1" applyProtection="1"/>
    <xf numFmtId="0" fontId="23" fillId="7" borderId="2" xfId="0" applyFont="1" applyFill="1" applyBorder="1" applyProtection="1"/>
    <xf numFmtId="0" fontId="4" fillId="7" borderId="2" xfId="0" applyFont="1" applyFill="1" applyBorder="1" applyProtection="1"/>
    <xf numFmtId="166" fontId="3" fillId="7" borderId="2" xfId="2" applyNumberFormat="1" applyFont="1" applyFill="1" applyBorder="1" applyProtection="1"/>
    <xf numFmtId="166" fontId="3" fillId="7" borderId="0" xfId="2" applyNumberFormat="1" applyFont="1" applyFill="1" applyBorder="1" applyProtection="1"/>
    <xf numFmtId="0" fontId="23" fillId="11" borderId="22" xfId="0" applyFont="1" applyFill="1" applyBorder="1" applyAlignment="1" applyProtection="1">
      <alignment horizontal="left"/>
    </xf>
    <xf numFmtId="0" fontId="23" fillId="11" borderId="58" xfId="0" applyFont="1" applyFill="1" applyBorder="1" applyAlignment="1" applyProtection="1">
      <alignment horizontal="left"/>
    </xf>
    <xf numFmtId="168" fontId="23" fillId="11" borderId="33" xfId="2" applyNumberFormat="1" applyFont="1" applyFill="1" applyBorder="1" applyProtection="1"/>
    <xf numFmtId="164" fontId="23" fillId="11" borderId="0" xfId="2" applyNumberFormat="1" applyFont="1" applyFill="1" applyBorder="1" applyProtection="1"/>
    <xf numFmtId="164" fontId="4" fillId="0" borderId="0" xfId="2" applyNumberFormat="1" applyFont="1" applyFill="1" applyBorder="1" applyProtection="1"/>
    <xf numFmtId="0" fontId="16" fillId="7" borderId="2" xfId="0" applyFont="1" applyFill="1" applyBorder="1" applyProtection="1"/>
    <xf numFmtId="166" fontId="14" fillId="9" borderId="2" xfId="2" applyNumberFormat="1" applyFont="1" applyFill="1" applyBorder="1" applyProtection="1"/>
    <xf numFmtId="166" fontId="14" fillId="9" borderId="0" xfId="2" applyNumberFormat="1" applyFont="1" applyFill="1" applyBorder="1" applyProtection="1"/>
    <xf numFmtId="9" fontId="4" fillId="0" borderId="0" xfId="3" applyFont="1" applyBorder="1" applyProtection="1"/>
    <xf numFmtId="165" fontId="23" fillId="11" borderId="0" xfId="2" applyNumberFormat="1" applyFont="1" applyFill="1" applyBorder="1" applyProtection="1"/>
    <xf numFmtId="166" fontId="1" fillId="5" borderId="2" xfId="2" applyNumberFormat="1" applyFont="1" applyFill="1" applyBorder="1" applyProtection="1">
      <protection locked="0"/>
    </xf>
    <xf numFmtId="0" fontId="10" fillId="0" borderId="0" xfId="0" applyFont="1" applyProtection="1"/>
    <xf numFmtId="0" fontId="10"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xf>
    <xf numFmtId="4" fontId="1" fillId="0" borderId="0" xfId="0" quotePrefix="1" applyNumberFormat="1" applyFont="1" applyBorder="1" applyAlignment="1" applyProtection="1">
      <alignment horizontal="center"/>
    </xf>
    <xf numFmtId="4" fontId="11" fillId="0" borderId="0" xfId="0" applyNumberFormat="1" applyFont="1" applyBorder="1" applyAlignment="1" applyProtection="1">
      <alignment horizontal="center"/>
    </xf>
    <xf numFmtId="4" fontId="11" fillId="0" borderId="0" xfId="0" applyNumberFormat="1" applyFont="1" applyBorder="1" applyAlignment="1" applyProtection="1">
      <alignment horizontal="center" vertical="center"/>
    </xf>
    <xf numFmtId="0" fontId="1" fillId="0" borderId="49" xfId="0" applyFont="1" applyBorder="1" applyAlignment="1" applyProtection="1"/>
    <xf numFmtId="0" fontId="11" fillId="0" borderId="52" xfId="0" applyFont="1" applyBorder="1" applyAlignment="1" applyProtection="1"/>
    <xf numFmtId="0" fontId="11" fillId="0" borderId="57" xfId="0" applyFont="1" applyBorder="1" applyAlignment="1" applyProtection="1"/>
    <xf numFmtId="0" fontId="11" fillId="0" borderId="0" xfId="0" applyFont="1" applyBorder="1" applyAlignment="1" applyProtection="1"/>
    <xf numFmtId="0" fontId="11" fillId="0" borderId="9" xfId="0" applyFont="1" applyBorder="1" applyAlignment="1" applyProtection="1">
      <alignment vertical="center"/>
    </xf>
    <xf numFmtId="0" fontId="10" fillId="0" borderId="11"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9" xfId="0" applyFont="1" applyBorder="1" applyAlignment="1" applyProtection="1">
      <alignment horizontal="left" vertical="center" wrapText="1"/>
    </xf>
    <xf numFmtId="3" fontId="10" fillId="0" borderId="11" xfId="0" applyNumberFormat="1" applyFont="1" applyBorder="1" applyAlignment="1" applyProtection="1">
      <alignment horizontal="center" vertical="center" wrapText="1"/>
    </xf>
    <xf numFmtId="3" fontId="10" fillId="0" borderId="6" xfId="0" applyNumberFormat="1" applyFont="1" applyBorder="1" applyAlignment="1" applyProtection="1">
      <alignment horizontal="center" vertical="center"/>
    </xf>
    <xf numFmtId="3" fontId="10" fillId="0" borderId="3" xfId="0" applyNumberFormat="1" applyFont="1" applyBorder="1" applyAlignment="1" applyProtection="1">
      <alignment horizontal="center" vertical="center"/>
    </xf>
    <xf numFmtId="0" fontId="10" fillId="0" borderId="12" xfId="0" applyFont="1" applyBorder="1" applyAlignment="1" applyProtection="1">
      <alignment vertical="center"/>
    </xf>
    <xf numFmtId="0" fontId="10" fillId="0" borderId="13" xfId="0" applyFont="1" applyBorder="1" applyAlignment="1" applyProtection="1">
      <alignment horizontal="center" vertical="center"/>
    </xf>
    <xf numFmtId="0" fontId="10" fillId="0" borderId="76"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2" fillId="16" borderId="53" xfId="0" applyFont="1" applyFill="1" applyBorder="1" applyAlignment="1" applyProtection="1">
      <alignment vertical="center"/>
    </xf>
    <xf numFmtId="3" fontId="11" fillId="16" borderId="57" xfId="0" applyNumberFormat="1" applyFont="1" applyFill="1" applyBorder="1" applyAlignment="1" applyProtection="1">
      <alignment horizontal="center" vertical="center"/>
    </xf>
    <xf numFmtId="0" fontId="39" fillId="6" borderId="23" xfId="0" applyFont="1" applyFill="1" applyBorder="1" applyProtection="1"/>
    <xf numFmtId="0" fontId="24" fillId="0" borderId="0" xfId="0" applyFont="1" applyAlignment="1" applyProtection="1">
      <alignment vertical="top"/>
    </xf>
    <xf numFmtId="0" fontId="24" fillId="0" borderId="0" xfId="0" applyFont="1" applyFill="1" applyBorder="1" applyAlignment="1" applyProtection="1">
      <alignment vertical="top"/>
    </xf>
    <xf numFmtId="0" fontId="32" fillId="0" borderId="0" xfId="0" applyFont="1" applyFill="1" applyBorder="1" applyAlignment="1" applyProtection="1">
      <alignment vertical="top"/>
    </xf>
    <xf numFmtId="0" fontId="25" fillId="0" borderId="0" xfId="0" applyFont="1" applyAlignment="1" applyProtection="1">
      <alignment vertical="top"/>
    </xf>
    <xf numFmtId="0" fontId="25" fillId="0" borderId="0" xfId="0" applyFont="1" applyFill="1" applyBorder="1" applyAlignment="1" applyProtection="1">
      <alignment vertical="top"/>
    </xf>
    <xf numFmtId="0" fontId="27" fillId="7" borderId="0" xfId="0" applyFont="1" applyFill="1" applyAlignment="1" applyProtection="1">
      <alignment vertical="top"/>
    </xf>
    <xf numFmtId="0" fontId="26" fillId="7" borderId="0" xfId="0" applyFont="1" applyFill="1" applyAlignment="1" applyProtection="1">
      <alignment vertical="top"/>
    </xf>
    <xf numFmtId="0" fontId="26" fillId="0" borderId="0" xfId="0" applyFont="1" applyFill="1" applyBorder="1" applyAlignment="1" applyProtection="1">
      <alignment vertical="top"/>
    </xf>
    <xf numFmtId="0" fontId="25" fillId="0" borderId="0" xfId="0" applyFont="1" applyBorder="1" applyAlignment="1" applyProtection="1">
      <alignment vertical="top"/>
    </xf>
    <xf numFmtId="0" fontId="45" fillId="0" borderId="0" xfId="1" applyFont="1" applyFill="1" applyBorder="1" applyAlignment="1" applyProtection="1">
      <alignment vertical="top"/>
    </xf>
    <xf numFmtId="0" fontId="28" fillId="0" borderId="2" xfId="0" applyFont="1" applyBorder="1" applyAlignment="1" applyProtection="1">
      <alignment vertical="top"/>
    </xf>
    <xf numFmtId="167" fontId="25" fillId="0" borderId="0" xfId="0" applyNumberFormat="1" applyFont="1" applyFill="1" applyBorder="1" applyAlignment="1" applyProtection="1">
      <alignment vertical="top"/>
    </xf>
    <xf numFmtId="2" fontId="25" fillId="0" borderId="0" xfId="0" applyNumberFormat="1" applyFont="1" applyFill="1" applyBorder="1" applyAlignment="1" applyProtection="1">
      <alignment vertical="top"/>
    </xf>
    <xf numFmtId="0" fontId="25" fillId="0" borderId="0" xfId="0" applyFont="1" applyFill="1" applyAlignment="1" applyProtection="1">
      <alignment vertical="top"/>
    </xf>
    <xf numFmtId="0" fontId="26" fillId="7" borderId="0" xfId="0" applyFont="1" applyFill="1" applyBorder="1" applyAlignment="1" applyProtection="1">
      <alignment vertical="top"/>
    </xf>
    <xf numFmtId="0" fontId="26" fillId="4" borderId="0" xfId="0" applyFont="1" applyFill="1" applyAlignment="1" applyProtection="1">
      <alignment vertical="top"/>
    </xf>
    <xf numFmtId="0" fontId="26" fillId="0" borderId="0" xfId="0" applyFont="1" applyFill="1" applyAlignment="1" applyProtection="1">
      <alignment vertical="top"/>
    </xf>
    <xf numFmtId="49" fontId="26" fillId="15" borderId="0" xfId="0" applyNumberFormat="1" applyFont="1" applyFill="1" applyBorder="1" applyAlignment="1" applyProtection="1">
      <alignment vertical="top"/>
    </xf>
    <xf numFmtId="3" fontId="26" fillId="13" borderId="25" xfId="0" applyNumberFormat="1" applyFont="1" applyFill="1" applyBorder="1" applyAlignment="1" applyProtection="1">
      <alignment vertical="top"/>
    </xf>
    <xf numFmtId="3" fontId="25" fillId="13" borderId="1" xfId="0" applyNumberFormat="1" applyFont="1" applyFill="1" applyBorder="1" applyAlignment="1" applyProtection="1">
      <alignment vertical="top"/>
    </xf>
    <xf numFmtId="3" fontId="26" fillId="4" borderId="1" xfId="0" applyNumberFormat="1" applyFont="1" applyFill="1" applyBorder="1" applyAlignment="1" applyProtection="1">
      <alignment vertical="top"/>
    </xf>
    <xf numFmtId="3" fontId="26" fillId="13" borderId="78" xfId="0" applyNumberFormat="1" applyFont="1" applyFill="1" applyBorder="1" applyAlignment="1" applyProtection="1">
      <alignment vertical="top"/>
    </xf>
    <xf numFmtId="49" fontId="30" fillId="0" borderId="0" xfId="0" applyNumberFormat="1" applyFont="1" applyFill="1" applyBorder="1" applyAlignment="1" applyProtection="1">
      <alignment horizontal="left" vertical="top"/>
    </xf>
    <xf numFmtId="3" fontId="25" fillId="4" borderId="1" xfId="0" applyNumberFormat="1" applyFont="1" applyFill="1" applyBorder="1" applyAlignment="1" applyProtection="1">
      <alignment vertical="top"/>
    </xf>
    <xf numFmtId="49" fontId="25" fillId="0" borderId="0" xfId="0" applyNumberFormat="1" applyFont="1" applyFill="1" applyBorder="1" applyAlignment="1" applyProtection="1">
      <alignment horizontal="left" vertical="top"/>
    </xf>
    <xf numFmtId="3" fontId="25" fillId="13" borderId="74" xfId="0" applyNumberFormat="1" applyFont="1" applyFill="1" applyBorder="1" applyAlignment="1" applyProtection="1">
      <alignment vertical="top"/>
    </xf>
    <xf numFmtId="49" fontId="26" fillId="15" borderId="0" xfId="0" applyNumberFormat="1" applyFont="1" applyFill="1" applyBorder="1" applyAlignment="1" applyProtection="1">
      <alignment horizontal="left" vertical="top"/>
    </xf>
    <xf numFmtId="3" fontId="26" fillId="13" borderId="1" xfId="0" applyNumberFormat="1" applyFont="1" applyFill="1" applyBorder="1" applyAlignment="1" applyProtection="1">
      <alignment vertical="top"/>
    </xf>
    <xf numFmtId="0" fontId="26" fillId="0" borderId="0" xfId="0" applyFont="1" applyAlignment="1" applyProtection="1">
      <alignment vertical="top"/>
    </xf>
    <xf numFmtId="49" fontId="25" fillId="0" borderId="0" xfId="0" applyNumberFormat="1" applyFont="1" applyFill="1" applyAlignment="1" applyProtection="1">
      <alignment horizontal="left" vertical="top"/>
    </xf>
    <xf numFmtId="49" fontId="26" fillId="15" borderId="0" xfId="0" applyNumberFormat="1" applyFont="1" applyFill="1" applyAlignment="1" applyProtection="1">
      <alignment horizontal="left" vertical="top"/>
    </xf>
    <xf numFmtId="0" fontId="46" fillId="0" borderId="0" xfId="0" applyFont="1" applyFill="1" applyBorder="1" applyAlignment="1" applyProtection="1">
      <alignment vertical="top"/>
    </xf>
    <xf numFmtId="49" fontId="25" fillId="0" borderId="73" xfId="0" applyNumberFormat="1" applyFont="1" applyFill="1" applyBorder="1" applyAlignment="1" applyProtection="1">
      <alignment horizontal="left" vertical="top"/>
    </xf>
    <xf numFmtId="49" fontId="26" fillId="18" borderId="0" xfId="0" applyNumberFormat="1" applyFont="1" applyFill="1" applyBorder="1" applyAlignment="1" applyProtection="1">
      <alignment horizontal="left" vertical="top"/>
    </xf>
    <xf numFmtId="3" fontId="26" fillId="18" borderId="1" xfId="0" applyNumberFormat="1" applyFont="1" applyFill="1" applyBorder="1" applyAlignment="1" applyProtection="1">
      <alignment vertical="top"/>
    </xf>
    <xf numFmtId="3" fontId="25" fillId="0" borderId="1" xfId="0" applyNumberFormat="1" applyFont="1" applyFill="1" applyBorder="1" applyAlignment="1" applyProtection="1">
      <alignment vertical="top"/>
    </xf>
    <xf numFmtId="3" fontId="25" fillId="0" borderId="79" xfId="0" applyNumberFormat="1" applyFont="1" applyFill="1" applyBorder="1" applyAlignment="1" applyProtection="1">
      <alignment vertical="top"/>
    </xf>
    <xf numFmtId="49" fontId="26" fillId="22" borderId="0" xfId="0" applyNumberFormat="1" applyFont="1" applyFill="1" applyBorder="1" applyAlignment="1" applyProtection="1">
      <alignment horizontal="left" vertical="top"/>
    </xf>
    <xf numFmtId="3" fontId="26" fillId="22" borderId="78" xfId="0" applyNumberFormat="1" applyFont="1" applyFill="1" applyBorder="1" applyAlignment="1" applyProtection="1">
      <alignment vertical="top"/>
    </xf>
    <xf numFmtId="3" fontId="26" fillId="22" borderId="2" xfId="0" applyNumberFormat="1" applyFont="1" applyFill="1" applyBorder="1" applyAlignment="1" applyProtection="1">
      <alignment vertical="top"/>
    </xf>
    <xf numFmtId="3" fontId="25" fillId="0" borderId="0" xfId="0" applyNumberFormat="1" applyFont="1" applyFill="1" applyAlignment="1" applyProtection="1">
      <alignment vertical="top"/>
    </xf>
    <xf numFmtId="0" fontId="33" fillId="0" borderId="0" xfId="0" applyFont="1" applyFill="1" applyBorder="1" applyAlignment="1" applyProtection="1">
      <alignment vertical="top"/>
    </xf>
    <xf numFmtId="0" fontId="29" fillId="0" borderId="0" xfId="0" applyFont="1" applyBorder="1" applyAlignment="1" applyProtection="1">
      <alignment vertical="top"/>
    </xf>
    <xf numFmtId="3" fontId="29" fillId="0" borderId="0" xfId="0" applyNumberFormat="1" applyFont="1" applyBorder="1" applyAlignment="1" applyProtection="1">
      <alignment vertical="top"/>
    </xf>
    <xf numFmtId="0" fontId="29" fillId="0" borderId="0" xfId="0" applyFont="1" applyFill="1" applyBorder="1" applyAlignment="1" applyProtection="1">
      <alignment vertical="top"/>
    </xf>
    <xf numFmtId="0" fontId="25" fillId="0" borderId="0" xfId="0" applyFont="1" applyAlignment="1" applyProtection="1">
      <alignment horizontal="center" vertical="top"/>
    </xf>
    <xf numFmtId="3" fontId="25" fillId="19" borderId="1" xfId="0" applyNumberFormat="1" applyFont="1" applyFill="1" applyBorder="1" applyAlignment="1" applyProtection="1">
      <alignment vertical="top"/>
    </xf>
    <xf numFmtId="0" fontId="25" fillId="0" borderId="73" xfId="0" applyFont="1" applyBorder="1" applyAlignment="1" applyProtection="1">
      <alignment vertical="top"/>
    </xf>
    <xf numFmtId="0" fontId="26" fillId="4" borderId="0" xfId="0" applyFont="1" applyFill="1" applyBorder="1" applyAlignment="1" applyProtection="1">
      <alignment vertical="top"/>
    </xf>
    <xf numFmtId="0" fontId="25" fillId="0" borderId="73" xfId="0" applyFont="1" applyFill="1" applyBorder="1" applyAlignment="1" applyProtection="1">
      <alignment vertical="top"/>
    </xf>
    <xf numFmtId="0" fontId="26" fillId="0" borderId="0" xfId="0" applyFont="1" applyBorder="1" applyAlignment="1" applyProtection="1">
      <alignment vertical="top"/>
    </xf>
    <xf numFmtId="3" fontId="26" fillId="4" borderId="75" xfId="0" applyNumberFormat="1" applyFont="1" applyFill="1" applyBorder="1" applyAlignment="1" applyProtection="1">
      <alignment vertical="top"/>
    </xf>
    <xf numFmtId="3" fontId="25" fillId="0" borderId="0" xfId="0" applyNumberFormat="1" applyFont="1" applyFill="1" applyBorder="1" applyAlignment="1" applyProtection="1">
      <alignment vertical="top"/>
    </xf>
    <xf numFmtId="167" fontId="26" fillId="4" borderId="2" xfId="3" applyNumberFormat="1" applyFont="1" applyFill="1" applyBorder="1" applyAlignment="1" applyProtection="1">
      <alignment vertical="top"/>
    </xf>
    <xf numFmtId="3" fontId="25" fillId="0" borderId="0" xfId="0" applyNumberFormat="1" applyFont="1" applyAlignment="1" applyProtection="1">
      <alignment vertical="top"/>
    </xf>
    <xf numFmtId="167" fontId="26" fillId="4" borderId="2" xfId="0" applyNumberFormat="1" applyFont="1" applyFill="1" applyBorder="1" applyAlignment="1" applyProtection="1">
      <alignment vertical="top"/>
    </xf>
    <xf numFmtId="0" fontId="31" fillId="0" borderId="0" xfId="0" applyFont="1" applyFill="1" applyBorder="1" applyAlignment="1" applyProtection="1">
      <alignment vertical="top"/>
    </xf>
    <xf numFmtId="3" fontId="26" fillId="0" borderId="0" xfId="0" applyNumberFormat="1" applyFont="1" applyAlignment="1" applyProtection="1">
      <alignment vertical="top"/>
    </xf>
    <xf numFmtId="3" fontId="24" fillId="0" borderId="0" xfId="0" applyNumberFormat="1" applyFont="1" applyAlignment="1" applyProtection="1">
      <alignment vertical="top"/>
    </xf>
    <xf numFmtId="0" fontId="0" fillId="0" borderId="0" xfId="0" applyAlignment="1">
      <alignment wrapText="1"/>
    </xf>
    <xf numFmtId="0" fontId="35" fillId="6" borderId="37" xfId="0" applyFont="1" applyFill="1" applyBorder="1"/>
    <xf numFmtId="0" fontId="0" fillId="6" borderId="39" xfId="0" applyFill="1" applyBorder="1" applyAlignment="1">
      <alignment wrapText="1"/>
    </xf>
    <xf numFmtId="0" fontId="0" fillId="0" borderId="26" xfId="0" applyBorder="1"/>
    <xf numFmtId="0" fontId="0" fillId="0" borderId="42" xfId="0" applyBorder="1" applyAlignment="1">
      <alignment wrapText="1"/>
    </xf>
    <xf numFmtId="0" fontId="36" fillId="0" borderId="42" xfId="1" applyBorder="1" applyAlignment="1">
      <alignment wrapText="1"/>
    </xf>
    <xf numFmtId="0" fontId="0" fillId="0" borderId="7" xfId="0" applyBorder="1"/>
    <xf numFmtId="0" fontId="0" fillId="0" borderId="32" xfId="0" applyBorder="1" applyAlignment="1">
      <alignment wrapText="1"/>
    </xf>
    <xf numFmtId="0" fontId="35" fillId="6" borderId="39" xfId="0" applyFont="1" applyFill="1" applyBorder="1" applyAlignment="1">
      <alignment wrapText="1"/>
    </xf>
    <xf numFmtId="0" fontId="23" fillId="6" borderId="37" xfId="0" applyFont="1" applyFill="1" applyBorder="1"/>
    <xf numFmtId="0" fontId="0" fillId="0" borderId="26" xfId="0" applyFont="1" applyBorder="1"/>
    <xf numFmtId="0" fontId="0" fillId="0" borderId="42" xfId="0" applyFont="1" applyBorder="1" applyAlignment="1">
      <alignment wrapText="1"/>
    </xf>
    <xf numFmtId="0" fontId="37" fillId="16" borderId="22" xfId="0" applyFont="1" applyFill="1" applyBorder="1"/>
    <xf numFmtId="0" fontId="37" fillId="16" borderId="24" xfId="0" applyFont="1" applyFill="1" applyBorder="1" applyAlignment="1">
      <alignment wrapText="1"/>
    </xf>
    <xf numFmtId="0" fontId="40" fillId="0" borderId="0" xfId="0" applyFont="1" applyProtection="1"/>
    <xf numFmtId="0" fontId="41" fillId="0" borderId="0" xfId="0" applyFont="1" applyProtection="1"/>
    <xf numFmtId="0" fontId="41" fillId="0" borderId="27" xfId="0" applyFont="1" applyBorder="1" applyProtection="1"/>
    <xf numFmtId="0" fontId="41" fillId="0" borderId="41" xfId="0" applyFont="1" applyBorder="1" applyProtection="1"/>
    <xf numFmtId="3" fontId="41" fillId="0" borderId="41" xfId="0" applyNumberFormat="1" applyFont="1" applyBorder="1" applyProtection="1"/>
    <xf numFmtId="0" fontId="41" fillId="0" borderId="55" xfId="0" applyFont="1" applyBorder="1" applyProtection="1"/>
    <xf numFmtId="0" fontId="3" fillId="2" borderId="22" xfId="0" applyFont="1" applyFill="1" applyBorder="1" applyAlignment="1" applyProtection="1"/>
    <xf numFmtId="0" fontId="3" fillId="2" borderId="23" xfId="0" applyFont="1" applyFill="1" applyBorder="1" applyAlignment="1" applyProtection="1"/>
    <xf numFmtId="0" fontId="3" fillId="2" borderId="58" xfId="0" applyFont="1" applyFill="1" applyBorder="1" applyAlignment="1" applyProtection="1"/>
    <xf numFmtId="166" fontId="3" fillId="2" borderId="33" xfId="2" applyNumberFormat="1" applyFont="1" applyFill="1" applyBorder="1" applyAlignment="1" applyProtection="1">
      <alignment horizontal="center"/>
    </xf>
    <xf numFmtId="0" fontId="41" fillId="0" borderId="80" xfId="0" applyFont="1" applyBorder="1" applyProtection="1"/>
    <xf numFmtId="0" fontId="41" fillId="0" borderId="0" xfId="0" applyFont="1" applyBorder="1" applyProtection="1"/>
    <xf numFmtId="3" fontId="41" fillId="0" borderId="0" xfId="0" applyNumberFormat="1" applyFont="1" applyBorder="1" applyProtection="1"/>
    <xf numFmtId="0" fontId="41" fillId="0" borderId="68" xfId="0" applyFont="1" applyBorder="1" applyProtection="1"/>
    <xf numFmtId="0" fontId="4" fillId="14" borderId="38" xfId="0" applyFont="1" applyFill="1" applyBorder="1" applyAlignment="1" applyProtection="1">
      <alignment vertical="center"/>
    </xf>
    <xf numFmtId="166" fontId="4" fillId="11" borderId="62" xfId="2" applyNumberFormat="1" applyFont="1" applyFill="1" applyBorder="1" applyAlignment="1" applyProtection="1">
      <alignment horizontal="center"/>
    </xf>
    <xf numFmtId="0" fontId="41" fillId="0" borderId="49" xfId="0" applyFont="1" applyBorder="1" applyProtection="1"/>
    <xf numFmtId="0" fontId="41" fillId="0" borderId="52" xfId="0" applyFont="1" applyBorder="1" applyProtection="1"/>
    <xf numFmtId="3" fontId="41" fillId="0" borderId="52" xfId="0" applyNumberFormat="1" applyFont="1" applyBorder="1" applyProtection="1"/>
    <xf numFmtId="0" fontId="41" fillId="0" borderId="57" xfId="0" applyFont="1" applyBorder="1" applyProtection="1"/>
    <xf numFmtId="9" fontId="41" fillId="0" borderId="55" xfId="0" applyNumberFormat="1" applyFont="1" applyBorder="1" applyProtection="1"/>
    <xf numFmtId="9" fontId="41" fillId="0" borderId="68" xfId="0" applyNumberFormat="1" applyFont="1" applyBorder="1" applyProtection="1"/>
    <xf numFmtId="166" fontId="3" fillId="0" borderId="21" xfId="2" applyNumberFormat="1" applyFont="1" applyFill="1" applyBorder="1" applyAlignment="1" applyProtection="1">
      <alignment horizontal="center"/>
    </xf>
    <xf numFmtId="9" fontId="41" fillId="0" borderId="57" xfId="0" applyNumberFormat="1" applyFont="1" applyBorder="1" applyProtection="1"/>
    <xf numFmtId="166" fontId="4" fillId="0" borderId="10" xfId="2" applyNumberFormat="1"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23" xfId="0" applyFont="1" applyFill="1" applyBorder="1" applyAlignment="1" applyProtection="1">
      <alignment horizontal="center"/>
    </xf>
    <xf numFmtId="0" fontId="4" fillId="0" borderId="24" xfId="0" applyFont="1" applyFill="1" applyBorder="1" applyAlignment="1" applyProtection="1">
      <alignment horizontal="center"/>
    </xf>
    <xf numFmtId="0" fontId="15" fillId="0" borderId="28" xfId="0" applyFont="1" applyBorder="1" applyProtection="1"/>
    <xf numFmtId="169" fontId="41" fillId="0" borderId="41" xfId="0" applyNumberFormat="1" applyFont="1" applyBorder="1" applyProtection="1"/>
    <xf numFmtId="0" fontId="4" fillId="0" borderId="81" xfId="0" applyFont="1" applyFill="1" applyBorder="1" applyAlignment="1" applyProtection="1">
      <alignment horizontal="center"/>
    </xf>
    <xf numFmtId="169" fontId="41" fillId="0" borderId="0" xfId="0" applyNumberFormat="1" applyFont="1" applyBorder="1" applyProtection="1"/>
    <xf numFmtId="0" fontId="4" fillId="0" borderId="46" xfId="0" applyFont="1" applyFill="1" applyBorder="1" applyAlignment="1" applyProtection="1">
      <alignment horizontal="center"/>
    </xf>
    <xf numFmtId="169" fontId="41" fillId="0" borderId="52" xfId="0" applyNumberFormat="1" applyFont="1" applyBorder="1" applyProtection="1"/>
    <xf numFmtId="0" fontId="15" fillId="0" borderId="81" xfId="0" applyFont="1" applyBorder="1" applyProtection="1"/>
    <xf numFmtId="0" fontId="15" fillId="0" borderId="81" xfId="0" applyFont="1" applyBorder="1" applyAlignment="1" applyProtection="1">
      <alignment horizontal="center"/>
    </xf>
    <xf numFmtId="0" fontId="42" fillId="0" borderId="41" xfId="0" applyFont="1" applyBorder="1" applyProtection="1"/>
    <xf numFmtId="0" fontId="42" fillId="0" borderId="55" xfId="0" applyFont="1" applyBorder="1" applyProtection="1"/>
    <xf numFmtId="43" fontId="41" fillId="0" borderId="0" xfId="0" applyNumberFormat="1" applyFont="1" applyBorder="1" applyProtection="1"/>
    <xf numFmtId="43" fontId="41" fillId="0" borderId="68" xfId="0" applyNumberFormat="1" applyFont="1" applyBorder="1" applyProtection="1"/>
    <xf numFmtId="0" fontId="15" fillId="0" borderId="46" xfId="0" applyFont="1" applyBorder="1" applyAlignment="1" applyProtection="1">
      <alignment horizontal="center"/>
    </xf>
    <xf numFmtId="0" fontId="15" fillId="0" borderId="72" xfId="0" applyFont="1" applyBorder="1" applyAlignment="1" applyProtection="1">
      <alignment horizontal="center"/>
    </xf>
    <xf numFmtId="0" fontId="3" fillId="2" borderId="26"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166" fontId="3" fillId="2" borderId="42" xfId="2" applyNumberFormat="1" applyFont="1" applyFill="1" applyBorder="1" applyAlignment="1" applyProtection="1">
      <alignment horizontal="center"/>
    </xf>
    <xf numFmtId="0" fontId="4" fillId="0" borderId="92" xfId="0" applyFont="1" applyBorder="1" applyAlignment="1" applyProtection="1"/>
    <xf numFmtId="43" fontId="41" fillId="0" borderId="52" xfId="0" applyNumberFormat="1" applyFont="1" applyBorder="1" applyProtection="1"/>
    <xf numFmtId="43" fontId="41" fillId="0" borderId="57" xfId="0" applyNumberFormat="1" applyFont="1" applyBorder="1" applyProtection="1"/>
    <xf numFmtId="166" fontId="4" fillId="0" borderId="21" xfId="2" applyNumberFormat="1" applyFont="1" applyFill="1" applyBorder="1" applyAlignment="1" applyProtection="1">
      <alignment horizontal="center"/>
    </xf>
    <xf numFmtId="0" fontId="4" fillId="14" borderId="8" xfId="0" applyFont="1" applyFill="1" applyBorder="1" applyAlignment="1" applyProtection="1">
      <alignment vertical="center"/>
    </xf>
    <xf numFmtId="166" fontId="4" fillId="11" borderId="32" xfId="2" applyNumberFormat="1" applyFont="1" applyFill="1" applyBorder="1" applyAlignment="1" applyProtection="1">
      <alignment horizontal="center"/>
    </xf>
    <xf numFmtId="0" fontId="4" fillId="2" borderId="23" xfId="0" applyFont="1" applyFill="1" applyBorder="1" applyAlignment="1" applyProtection="1"/>
    <xf numFmtId="0" fontId="4" fillId="2" borderId="58" xfId="0" applyFont="1" applyFill="1" applyBorder="1" applyAlignment="1" applyProtection="1"/>
    <xf numFmtId="0" fontId="4" fillId="0" borderId="0" xfId="0" applyFont="1" applyFill="1" applyBorder="1" applyAlignment="1" applyProtection="1"/>
    <xf numFmtId="9" fontId="41" fillId="0" borderId="0" xfId="0" applyNumberFormat="1" applyFont="1" applyAlignment="1" applyProtection="1">
      <alignment horizontal="left"/>
    </xf>
    <xf numFmtId="9" fontId="41" fillId="0" borderId="0" xfId="0" applyNumberFormat="1" applyFont="1" applyAlignment="1" applyProtection="1">
      <alignment horizontal="center"/>
    </xf>
    <xf numFmtId="1" fontId="41" fillId="0" borderId="0" xfId="0" applyNumberFormat="1" applyFont="1" applyProtection="1"/>
    <xf numFmtId="0" fontId="3" fillId="2" borderId="37" xfId="0" applyFont="1" applyFill="1" applyBorder="1" applyAlignment="1" applyProtection="1"/>
    <xf numFmtId="0" fontId="4" fillId="2" borderId="38" xfId="0" applyFont="1" applyFill="1" applyBorder="1" applyAlignment="1" applyProtection="1"/>
    <xf numFmtId="0" fontId="4" fillId="2" borderId="77" xfId="0" applyFont="1" applyFill="1" applyBorder="1" applyAlignment="1" applyProtection="1"/>
    <xf numFmtId="0" fontId="3" fillId="2" borderId="67" xfId="0" applyFont="1" applyFill="1" applyBorder="1" applyAlignment="1" applyProtection="1">
      <alignment horizontal="center"/>
    </xf>
    <xf numFmtId="3" fontId="41" fillId="0" borderId="0" xfId="0" applyNumberFormat="1" applyFont="1" applyProtection="1"/>
    <xf numFmtId="168" fontId="41" fillId="0" borderId="0" xfId="0" applyNumberFormat="1" applyFont="1" applyProtection="1"/>
    <xf numFmtId="166" fontId="1" fillId="21" borderId="2" xfId="2" applyNumberFormat="1" applyFont="1" applyFill="1" applyBorder="1" applyProtection="1">
      <protection locked="0"/>
    </xf>
    <xf numFmtId="0" fontId="3" fillId="5" borderId="16" xfId="0" quotePrefix="1" applyFont="1" applyFill="1" applyBorder="1" applyProtection="1">
      <protection locked="0"/>
    </xf>
    <xf numFmtId="43" fontId="13" fillId="0" borderId="37" xfId="0" applyNumberFormat="1" applyFont="1" applyFill="1" applyBorder="1" applyAlignment="1" applyProtection="1">
      <alignment horizontal="left"/>
    </xf>
    <xf numFmtId="43" fontId="13" fillId="0" borderId="39" xfId="0" applyNumberFormat="1" applyFont="1" applyFill="1" applyBorder="1" applyAlignment="1" applyProtection="1">
      <alignment horizontal="left"/>
    </xf>
    <xf numFmtId="43" fontId="3" fillId="0" borderId="37" xfId="0" applyNumberFormat="1" applyFont="1" applyFill="1" applyBorder="1" applyAlignment="1" applyProtection="1">
      <alignment horizontal="center" vertical="center"/>
    </xf>
    <xf numFmtId="43" fontId="3" fillId="0" borderId="39" xfId="0" applyNumberFormat="1" applyFont="1" applyFill="1" applyBorder="1" applyAlignment="1" applyProtection="1">
      <alignment horizontal="center" vertical="center"/>
    </xf>
    <xf numFmtId="43" fontId="3" fillId="0" borderId="7" xfId="0" applyNumberFormat="1" applyFont="1" applyFill="1" applyBorder="1" applyAlignment="1" applyProtection="1">
      <alignment horizontal="center" vertical="center"/>
    </xf>
    <xf numFmtId="43" fontId="3" fillId="0" borderId="32" xfId="0" applyNumberFormat="1" applyFont="1" applyFill="1" applyBorder="1" applyAlignment="1" applyProtection="1">
      <alignment horizontal="center" vertical="center"/>
    </xf>
    <xf numFmtId="0" fontId="4" fillId="2" borderId="35" xfId="0" applyFont="1" applyFill="1" applyBorder="1" applyAlignment="1" applyProtection="1">
      <alignment horizontal="center"/>
    </xf>
    <xf numFmtId="0" fontId="4" fillId="2" borderId="58" xfId="0" applyFont="1" applyFill="1" applyBorder="1" applyAlignment="1" applyProtection="1">
      <alignment horizontal="center"/>
    </xf>
    <xf numFmtId="43" fontId="13" fillId="0" borderId="7" xfId="0" applyNumberFormat="1" applyFont="1" applyFill="1" applyBorder="1" applyAlignment="1" applyProtection="1">
      <alignment horizontal="left"/>
    </xf>
    <xf numFmtId="43" fontId="13" fillId="0" borderId="32" xfId="0" applyNumberFormat="1" applyFont="1" applyFill="1" applyBorder="1" applyAlignment="1" applyProtection="1">
      <alignment horizontal="left"/>
    </xf>
    <xf numFmtId="43" fontId="13" fillId="0" borderId="26" xfId="0" applyNumberFormat="1" applyFont="1" applyFill="1" applyBorder="1" applyAlignment="1" applyProtection="1">
      <alignment horizontal="left"/>
    </xf>
    <xf numFmtId="43" fontId="13" fillId="0" borderId="42" xfId="0" applyNumberFormat="1" applyFont="1" applyFill="1" applyBorder="1" applyAlignment="1" applyProtection="1">
      <alignment horizontal="left"/>
    </xf>
    <xf numFmtId="0" fontId="23" fillId="6" borderId="22" xfId="0" applyFont="1" applyFill="1" applyBorder="1" applyAlignment="1" applyProtection="1">
      <alignment horizontal="center"/>
    </xf>
    <xf numFmtId="0" fontId="23" fillId="6" borderId="23" xfId="0" applyFont="1" applyFill="1" applyBorder="1" applyAlignment="1" applyProtection="1">
      <alignment horizontal="center"/>
    </xf>
    <xf numFmtId="0" fontId="23" fillId="6" borderId="24" xfId="0" applyFont="1" applyFill="1" applyBorder="1" applyAlignment="1" applyProtection="1">
      <alignment horizontal="center"/>
    </xf>
    <xf numFmtId="0" fontId="22" fillId="14" borderId="19" xfId="0" applyFont="1" applyFill="1" applyBorder="1" applyAlignment="1" applyProtection="1">
      <alignment horizontal="center" vertical="center"/>
    </xf>
    <xf numFmtId="0" fontId="22" fillId="14" borderId="20" xfId="0" applyFont="1" applyFill="1" applyBorder="1" applyAlignment="1" applyProtection="1">
      <alignment horizontal="center" vertical="center"/>
    </xf>
    <xf numFmtId="0" fontId="5" fillId="2" borderId="2" xfId="0" applyFont="1" applyFill="1" applyBorder="1" applyAlignment="1" applyProtection="1">
      <alignment horizontal="center" wrapText="1"/>
    </xf>
    <xf numFmtId="0" fontId="5" fillId="2" borderId="22" xfId="0" applyFont="1" applyFill="1" applyBorder="1" applyAlignment="1" applyProtection="1">
      <alignment horizontal="left"/>
    </xf>
    <xf numFmtId="0" fontId="5" fillId="2" borderId="58" xfId="0" applyFont="1" applyFill="1" applyBorder="1" applyAlignment="1" applyProtection="1">
      <alignment horizontal="left"/>
    </xf>
    <xf numFmtId="0" fontId="5" fillId="0" borderId="19"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2" borderId="19" xfId="0" applyFont="1" applyFill="1" applyBorder="1" applyAlignment="1" applyProtection="1">
      <alignment horizontal="left"/>
    </xf>
    <xf numFmtId="0" fontId="5" fillId="2" borderId="20" xfId="0" applyFont="1" applyFill="1" applyBorder="1" applyAlignment="1" applyProtection="1">
      <alignment horizontal="left"/>
    </xf>
    <xf numFmtId="0" fontId="5" fillId="2" borderId="43" xfId="0" applyFont="1" applyFill="1" applyBorder="1" applyAlignment="1" applyProtection="1">
      <alignment horizontal="left"/>
    </xf>
    <xf numFmtId="0" fontId="5" fillId="2" borderId="56" xfId="0" applyFont="1" applyFill="1" applyBorder="1" applyAlignment="1" applyProtection="1">
      <alignment horizontal="left"/>
    </xf>
    <xf numFmtId="0" fontId="5" fillId="0" borderId="22" xfId="0" applyFont="1" applyBorder="1" applyAlignment="1" applyProtection="1">
      <alignment horizontal="center" wrapText="1"/>
    </xf>
    <xf numFmtId="0" fontId="5" fillId="0" borderId="24" xfId="0" applyFont="1" applyBorder="1" applyAlignment="1" applyProtection="1">
      <alignment horizontal="center" wrapText="1"/>
    </xf>
    <xf numFmtId="0" fontId="13" fillId="0" borderId="27" xfId="0" applyFont="1" applyBorder="1" applyAlignment="1">
      <alignment horizontal="center"/>
    </xf>
    <xf numFmtId="0" fontId="13" fillId="0" borderId="41" xfId="0" applyFont="1" applyBorder="1" applyAlignment="1">
      <alignment horizontal="center"/>
    </xf>
    <xf numFmtId="0" fontId="13" fillId="0" borderId="55" xfId="0" applyFont="1" applyBorder="1" applyAlignment="1">
      <alignment horizontal="center"/>
    </xf>
    <xf numFmtId="0" fontId="3" fillId="2" borderId="43" xfId="0" applyFont="1" applyFill="1" applyBorder="1" applyAlignment="1">
      <alignment horizontal="center"/>
    </xf>
    <xf numFmtId="0" fontId="3" fillId="2" borderId="62" xfId="0" applyFont="1" applyFill="1" applyBorder="1" applyAlignment="1">
      <alignment horizontal="center"/>
    </xf>
    <xf numFmtId="0" fontId="2" fillId="11" borderId="22" xfId="0" applyFont="1" applyFill="1" applyBorder="1" applyAlignment="1" applyProtection="1">
      <alignment horizontal="left"/>
    </xf>
    <xf numFmtId="0" fontId="2" fillId="11" borderId="58" xfId="0" applyFont="1" applyFill="1" applyBorder="1" applyAlignment="1" applyProtection="1">
      <alignment horizontal="left"/>
    </xf>
    <xf numFmtId="0" fontId="4" fillId="0" borderId="40" xfId="0" applyFont="1" applyBorder="1" applyAlignment="1" applyProtection="1">
      <alignment horizontal="left"/>
    </xf>
    <xf numFmtId="0" fontId="4" fillId="0" borderId="92" xfId="0" applyFont="1" applyBorder="1" applyAlignment="1" applyProtection="1">
      <alignment horizontal="left"/>
    </xf>
    <xf numFmtId="0" fontId="4" fillId="0" borderId="61" xfId="0" applyFont="1" applyBorder="1" applyAlignment="1" applyProtection="1">
      <alignment horizontal="left"/>
    </xf>
    <xf numFmtId="0" fontId="4" fillId="0" borderId="6" xfId="0" applyFont="1" applyFill="1" applyBorder="1" applyAlignment="1" applyProtection="1">
      <alignment horizontal="left"/>
    </xf>
    <xf numFmtId="0" fontId="4" fillId="0" borderId="71" xfId="0" applyFont="1" applyFill="1" applyBorder="1" applyAlignment="1" applyProtection="1">
      <alignment horizontal="left"/>
    </xf>
    <xf numFmtId="0" fontId="4" fillId="0" borderId="11" xfId="0" applyFont="1" applyFill="1" applyBorder="1" applyAlignment="1" applyProtection="1">
      <alignment horizontal="left"/>
    </xf>
    <xf numFmtId="0" fontId="4" fillId="0" borderId="28" xfId="0" applyFont="1" applyBorder="1" applyAlignment="1" applyProtection="1">
      <alignment horizontal="center"/>
    </xf>
    <xf numFmtId="0" fontId="4" fillId="0" borderId="81" xfId="0" applyFont="1" applyBorder="1" applyAlignment="1" applyProtection="1">
      <alignment horizontal="center"/>
    </xf>
    <xf numFmtId="0" fontId="4" fillId="0" borderId="72" xfId="0" applyFont="1" applyBorder="1" applyAlignment="1" applyProtection="1">
      <alignment horizontal="center"/>
    </xf>
    <xf numFmtId="0" fontId="4" fillId="0" borderId="59" xfId="0" applyFont="1" applyFill="1" applyBorder="1" applyAlignment="1" applyProtection="1">
      <alignment horizontal="center"/>
    </xf>
    <xf numFmtId="0" fontId="4" fillId="0" borderId="46" xfId="0" applyFont="1" applyFill="1" applyBorder="1" applyAlignment="1" applyProtection="1">
      <alignment horizontal="center"/>
    </xf>
    <xf numFmtId="0" fontId="41" fillId="0" borderId="28" xfId="0" applyFont="1" applyBorder="1" applyAlignment="1" applyProtection="1">
      <alignment horizontal="center"/>
    </xf>
    <xf numFmtId="0" fontId="41" fillId="0" borderId="72" xfId="0" applyFont="1" applyBorder="1" applyAlignment="1" applyProtection="1">
      <alignment horizontal="center"/>
    </xf>
    <xf numFmtId="0" fontId="4" fillId="0" borderId="34" xfId="0" applyFont="1" applyBorder="1" applyAlignment="1" applyProtection="1">
      <alignment horizontal="left"/>
    </xf>
    <xf numFmtId="0" fontId="4" fillId="0" borderId="65" xfId="0" applyFont="1" applyBorder="1" applyAlignment="1" applyProtection="1">
      <alignment horizontal="left"/>
    </xf>
    <xf numFmtId="0" fontId="4" fillId="0" borderId="56" xfId="0" applyFont="1" applyBorder="1" applyAlignment="1" applyProtection="1">
      <alignment horizontal="left"/>
    </xf>
    <xf numFmtId="0" fontId="4" fillId="0" borderId="6" xfId="0" applyFont="1" applyBorder="1" applyAlignment="1" applyProtection="1">
      <alignment horizontal="left"/>
    </xf>
    <xf numFmtId="0" fontId="4" fillId="0" borderId="71" xfId="0" applyFont="1" applyBorder="1" applyAlignment="1" applyProtection="1">
      <alignment horizontal="left"/>
    </xf>
    <xf numFmtId="0" fontId="4" fillId="0" borderId="11" xfId="0" applyFont="1" applyBorder="1" applyAlignment="1" applyProtection="1">
      <alignment horizontal="left"/>
    </xf>
    <xf numFmtId="0" fontId="43" fillId="14" borderId="43" xfId="0" applyFont="1" applyFill="1" applyBorder="1" applyAlignment="1" applyProtection="1">
      <alignment horizontal="center" vertical="center"/>
    </xf>
    <xf numFmtId="0" fontId="43" fillId="14" borderId="65" xfId="0" applyFont="1" applyFill="1" applyBorder="1" applyAlignment="1" applyProtection="1">
      <alignment horizontal="center" vertical="center"/>
    </xf>
    <xf numFmtId="0" fontId="4" fillId="0" borderId="40" xfId="0" applyFont="1" applyFill="1" applyBorder="1" applyAlignment="1" applyProtection="1">
      <alignment horizontal="left"/>
    </xf>
    <xf numFmtId="0" fontId="4" fillId="0" borderId="92" xfId="0" applyFont="1" applyFill="1" applyBorder="1" applyAlignment="1" applyProtection="1">
      <alignment horizontal="left"/>
    </xf>
    <xf numFmtId="0" fontId="4" fillId="0" borderId="61" xfId="0" applyFont="1" applyFill="1" applyBorder="1" applyAlignment="1" applyProtection="1">
      <alignment horizontal="left"/>
    </xf>
    <xf numFmtId="0" fontId="43" fillId="14" borderId="45" xfId="0" applyFont="1" applyFill="1" applyBorder="1" applyAlignment="1" applyProtection="1">
      <alignment horizontal="center" vertical="center"/>
    </xf>
    <xf numFmtId="0" fontId="43" fillId="14" borderId="92" xfId="0" applyFont="1" applyFill="1" applyBorder="1" applyAlignment="1" applyProtection="1">
      <alignment horizontal="center" vertical="center"/>
    </xf>
    <xf numFmtId="0" fontId="15" fillId="0" borderId="82" xfId="0" applyFont="1" applyBorder="1" applyAlignment="1" applyProtection="1">
      <alignment horizontal="left"/>
    </xf>
    <xf numFmtId="0" fontId="15" fillId="0" borderId="65" xfId="0" applyFont="1" applyBorder="1" applyAlignment="1" applyProtection="1">
      <alignment horizontal="left"/>
    </xf>
    <xf numFmtId="0" fontId="15" fillId="0" borderId="56" xfId="0" applyFont="1" applyBorder="1" applyAlignment="1" applyProtection="1">
      <alignment horizontal="left"/>
    </xf>
    <xf numFmtId="0" fontId="15" fillId="0" borderId="44" xfId="0" applyFont="1" applyBorder="1" applyAlignment="1" applyProtection="1">
      <alignment horizontal="left"/>
    </xf>
    <xf numFmtId="0" fontId="15" fillId="0" borderId="71" xfId="0" applyFont="1" applyBorder="1" applyAlignment="1" applyProtection="1">
      <alignment horizontal="left"/>
    </xf>
    <xf numFmtId="0" fontId="15" fillId="0" borderId="11" xfId="0" applyFont="1" applyBorder="1" applyAlignment="1" applyProtection="1">
      <alignment horizontal="left"/>
    </xf>
    <xf numFmtId="0" fontId="4" fillId="0" borderId="28" xfId="0" applyFont="1" applyBorder="1" applyAlignment="1" applyProtection="1">
      <alignment horizontal="left"/>
    </xf>
    <xf numFmtId="0" fontId="4" fillId="0" borderId="81" xfId="0" applyFont="1" applyBorder="1" applyAlignment="1" applyProtection="1">
      <alignment horizontal="left"/>
    </xf>
    <xf numFmtId="0" fontId="4" fillId="0" borderId="72" xfId="0" applyFont="1" applyBorder="1" applyAlignment="1" applyProtection="1">
      <alignment horizontal="left"/>
    </xf>
  </cellXfs>
  <cellStyles count="4">
    <cellStyle name="Collegamento ipertestuale" xfId="1" builtinId="8"/>
    <cellStyle name="Migliaia" xfId="2" builtinId="3"/>
    <cellStyle name="Normale" xfId="0" builtinId="0"/>
    <cellStyle name="Percentuale" xfId="3" builtinId="5"/>
  </cellStyles>
  <dxfs count="2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200" b="1"/>
              <a:t>PRODUZIONE CALORE</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100" b="1" i="0" baseline="0">
                <a:effectLst/>
              </a:rPr>
              <a:t>(suddivisione investimenti)</a:t>
            </a:r>
            <a:endParaRPr lang="it-CH" sz="1100">
              <a:effectLst/>
            </a:endParaRPr>
          </a:p>
        </c:rich>
      </c:tx>
      <c:layout>
        <c:manualLayout>
          <c:xMode val="edge"/>
          <c:yMode val="edge"/>
          <c:x val="0.63983333333333337"/>
          <c:y val="9.2591886221834712E-3"/>
        </c:manualLayout>
      </c:layout>
      <c:overlay val="0"/>
      <c:spPr>
        <a:noFill/>
        <a:ln w="25400">
          <a:noFill/>
        </a:ln>
      </c:spPr>
    </c:title>
    <c:autoTitleDeleted val="0"/>
    <c:plotArea>
      <c:layout>
        <c:manualLayout>
          <c:layoutTarget val="inner"/>
          <c:xMode val="edge"/>
          <c:yMode val="edge"/>
          <c:x val="0.29791727278090979"/>
          <c:y val="0.21107302097923364"/>
          <c:w val="0.40625082651942246"/>
          <c:h val="0.67474162444181252"/>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Pt>
            <c:idx val="4"/>
            <c:bubble3D val="0"/>
            <c:spPr>
              <a:solidFill>
                <a:srgbClr val="4472C4"/>
              </a:solidFill>
              <a:ln w="12700">
                <a:solidFill>
                  <a:srgbClr val="FFFFFF"/>
                </a:solidFill>
                <a:prstDash val="solid"/>
              </a:ln>
            </c:spPr>
          </c:dPt>
          <c:dPt>
            <c:idx val="5"/>
            <c:bubble3D val="0"/>
            <c:spPr>
              <a:solidFill>
                <a:srgbClr val="70AD47"/>
              </a:solidFill>
              <a:ln w="12700">
                <a:solidFill>
                  <a:srgbClr val="FFFFFF"/>
                </a:solidFill>
                <a:prstDash val="solid"/>
              </a:ln>
            </c:spPr>
          </c:dPt>
          <c:dLbls>
            <c:dLbl>
              <c:idx val="0"/>
              <c:layout>
                <c:manualLayout>
                  <c:x val="6.8632545931758424E-2"/>
                  <c:y val="-6.7863079615048186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4.0127734033245897E-2"/>
                  <c:y val="-3.1403834937299528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8.3946850393700843E-3"/>
                  <c:y val="-2.296660834062408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6.6122629841184832E-2"/>
                  <c:y val="3.4746382075860885E-3"/>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5.1946164227648021E-2"/>
                  <c:y val="-8.9352741853875373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2.0804959846928532E-2"/>
                  <c:y val="-2.785405497360984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Investimenti!$R$48:$R$53</c:f>
              <c:strCache>
                <c:ptCount val="6"/>
                <c:pt idx="0">
                  <c:v>Opere civili</c:v>
                </c:pt>
                <c:pt idx="1">
                  <c:v>Impianto elettrico</c:v>
                </c:pt>
                <c:pt idx="2">
                  <c:v>Caldaia principale (no opere civili)</c:v>
                </c:pt>
                <c:pt idx="3">
                  <c:v>caldaia secondaria</c:v>
                </c:pt>
                <c:pt idx="4">
                  <c:v>Impiantistica per la distribuzione</c:v>
                </c:pt>
                <c:pt idx="5">
                  <c:v>altro</c:v>
                </c:pt>
              </c:strCache>
            </c:strRef>
          </c:cat>
          <c:val>
            <c:numRef>
              <c:f>Investimenti!$S$48:$S$53</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it-CH" sz="1400"/>
              <a:t>Net Present Value Cumulativo</a:t>
            </a:r>
            <a:r>
              <a:rPr lang="it-CH" sz="1200" b="0" i="0" u="none" strike="noStrike" baseline="0">
                <a:effectLst/>
              </a:rPr>
              <a:t> - con incentivi</a:t>
            </a:r>
            <a:endParaRPr lang="it-CH" sz="1400"/>
          </a:p>
        </c:rich>
      </c:tx>
      <c:layout>
        <c:manualLayout>
          <c:xMode val="edge"/>
          <c:yMode val="edge"/>
          <c:x val="0.22777782130467522"/>
          <c:y val="4.2824074074074077E-2"/>
        </c:manualLayout>
      </c:layout>
      <c:overlay val="0"/>
      <c:spPr>
        <a:noFill/>
        <a:ln w="25400">
          <a:noFill/>
        </a:ln>
      </c:spPr>
    </c:title>
    <c:autoTitleDeleted val="0"/>
    <c:plotArea>
      <c:layout>
        <c:manualLayout>
          <c:layoutTarget val="inner"/>
          <c:xMode val="edge"/>
          <c:yMode val="edge"/>
          <c:x val="0.18023896266698006"/>
          <c:y val="0.16319499781289951"/>
          <c:w val="0.80240964904262591"/>
          <c:h val="0.64583552325955973"/>
        </c:manualLayout>
      </c:layout>
      <c:barChart>
        <c:barDir val="col"/>
        <c:grouping val="clustered"/>
        <c:varyColors val="0"/>
        <c:ser>
          <c:idx val="0"/>
          <c:order val="0"/>
          <c:invertIfNegative val="0"/>
          <c:cat>
            <c:numRef>
              <c:f>'Business Plan'!$D$51:$AH$51</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Plan'!$D$54:$AH$54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150"/>
        <c:axId val="47527808"/>
        <c:axId val="47788032"/>
      </c:barChart>
      <c:catAx>
        <c:axId val="47527808"/>
        <c:scaling>
          <c:orientation val="minMax"/>
        </c:scaling>
        <c:delete val="0"/>
        <c:axPos val="b"/>
        <c:majorGridlines>
          <c:spPr>
            <a:ln>
              <a:solidFill>
                <a:schemeClr val="tx1"/>
              </a:solidFill>
              <a:prstDash val="dash"/>
            </a:ln>
          </c:spPr>
        </c:majorGridlines>
        <c:title>
          <c:tx>
            <c:rich>
              <a:bodyPr anchor="b" anchorCtr="1"/>
              <a:lstStyle/>
              <a:p>
                <a:pPr>
                  <a:defRPr sz="1000" b="1" i="0" u="none" strike="noStrike" baseline="0">
                    <a:solidFill>
                      <a:srgbClr val="000000"/>
                    </a:solidFill>
                    <a:latin typeface="Calibri"/>
                    <a:ea typeface="Calibri"/>
                    <a:cs typeface="Calibri"/>
                  </a:defRPr>
                </a:pPr>
                <a:r>
                  <a:rPr lang="it-CH" sz="1200"/>
                  <a:t>tempo [anni]</a:t>
                </a:r>
              </a:p>
            </c:rich>
          </c:tx>
          <c:layout>
            <c:manualLayout>
              <c:xMode val="edge"/>
              <c:yMode val="edge"/>
              <c:x val="0.47285427630003962"/>
              <c:y val="0.89930847185768448"/>
            </c:manualLayout>
          </c:layout>
          <c:overlay val="0"/>
          <c:spPr>
            <a:noFill/>
            <a:ln w="25400">
              <a:noFill/>
            </a:ln>
          </c:spPr>
        </c:title>
        <c:numFmt formatCode="General" sourceLinked="1"/>
        <c:majorTickMark val="out"/>
        <c:minorTickMark val="none"/>
        <c:tickLblPos val="low"/>
        <c:spPr>
          <a:ln>
            <a:solidFill>
              <a:schemeClr val="tx1"/>
            </a:solidFill>
            <a:prstDash val="dash"/>
          </a:ln>
        </c:spPr>
        <c:crossAx val="47788032"/>
        <c:crosses val="autoZero"/>
        <c:auto val="1"/>
        <c:lblAlgn val="ctr"/>
        <c:lblOffset val="100"/>
        <c:noMultiLvlLbl val="0"/>
      </c:catAx>
      <c:valAx>
        <c:axId val="47788032"/>
        <c:scaling>
          <c:orientation val="minMax"/>
        </c:scaling>
        <c:delete val="0"/>
        <c:axPos val="l"/>
        <c:majorGridlines>
          <c:spPr>
            <a:ln>
              <a:solidFill>
                <a:schemeClr val="tx1"/>
              </a:solidFill>
              <a:prstDash val="dash"/>
            </a:ln>
          </c:spPr>
        </c:majorGridlines>
        <c:title>
          <c:tx>
            <c:rich>
              <a:bodyPr/>
              <a:lstStyle/>
              <a:p>
                <a:pPr>
                  <a:defRPr sz="1000" b="1" i="0" u="none" strike="noStrike" baseline="0">
                    <a:solidFill>
                      <a:srgbClr val="000000"/>
                    </a:solidFill>
                    <a:latin typeface="Calibri"/>
                    <a:ea typeface="Calibri"/>
                    <a:cs typeface="Calibri"/>
                  </a:defRPr>
                </a:pPr>
                <a:r>
                  <a:rPr lang="it-CH" sz="1200"/>
                  <a:t>NPV [CHF]</a:t>
                </a:r>
              </a:p>
            </c:rich>
          </c:tx>
          <c:layout>
            <c:manualLayout>
              <c:xMode val="edge"/>
              <c:yMode val="edge"/>
              <c:x val="1.4583251720400621E-2"/>
              <c:y val="0.38310185185185186"/>
            </c:manualLayout>
          </c:layout>
          <c:overlay val="0"/>
          <c:spPr>
            <a:noFill/>
            <a:ln w="25400">
              <a:noFill/>
            </a:ln>
          </c:spPr>
        </c:title>
        <c:numFmt formatCode="#,##0" sourceLinked="1"/>
        <c:majorTickMark val="out"/>
        <c:minorTickMark val="none"/>
        <c:tickLblPos val="nextTo"/>
        <c:spPr>
          <a:ln w="3175">
            <a:solidFill>
              <a:srgbClr val="000000"/>
            </a:solidFill>
            <a:prstDash val="solid"/>
          </a:ln>
        </c:spPr>
        <c:crossAx val="47527808"/>
        <c:crosses val="autoZero"/>
        <c:crossBetween val="between"/>
      </c:valAx>
      <c:spPr>
        <a:ln>
          <a:solidFill>
            <a:schemeClr val="tx1"/>
          </a:solidFill>
        </a:ln>
      </c:spPr>
    </c:plotArea>
    <c:plotVisOnly val="1"/>
    <c:dispBlanksAs val="gap"/>
    <c:showDLblsOverMax val="0"/>
  </c:chart>
  <c:spPr>
    <a:ln>
      <a:solidFill>
        <a:schemeClr val="tx1"/>
      </a:solidFill>
    </a:ln>
  </c:spPr>
  <c:printSettings>
    <c:headerFooter/>
    <c:pageMargins b="0.75000000000000033" l="0.70000000000000029" r="0.70000000000000029" t="0.75000000000000033" header="0.30000000000000016" footer="0.30000000000000016"/>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it-CH" sz="1400"/>
              <a:t>Net Present Value Cumulativo</a:t>
            </a:r>
            <a:r>
              <a:rPr lang="it-CH" sz="1200" b="0"/>
              <a:t> -</a:t>
            </a:r>
            <a:r>
              <a:rPr lang="it-CH" sz="1200" b="0" baseline="0"/>
              <a:t> </a:t>
            </a:r>
            <a:r>
              <a:rPr lang="it-CH" sz="1200" b="0"/>
              <a:t>senza</a:t>
            </a:r>
            <a:r>
              <a:rPr lang="it-CH" sz="1200" b="0" baseline="0"/>
              <a:t> incentivi</a:t>
            </a:r>
            <a:endParaRPr lang="it-CH" sz="1200" b="0"/>
          </a:p>
        </c:rich>
      </c:tx>
      <c:layout>
        <c:manualLayout>
          <c:xMode val="edge"/>
          <c:yMode val="edge"/>
          <c:x val="0.22777771744049236"/>
          <c:y val="4.2824074074074077E-2"/>
        </c:manualLayout>
      </c:layout>
      <c:overlay val="0"/>
      <c:spPr>
        <a:noFill/>
        <a:ln w="25400">
          <a:noFill/>
        </a:ln>
      </c:spPr>
    </c:title>
    <c:autoTitleDeleted val="0"/>
    <c:plotArea>
      <c:layout>
        <c:manualLayout>
          <c:layoutTarget val="inner"/>
          <c:xMode val="edge"/>
          <c:yMode val="edge"/>
          <c:x val="0.18346492895284641"/>
          <c:y val="0.16203703703703706"/>
          <c:w val="0.79554276405104518"/>
          <c:h val="0.64583552325955973"/>
        </c:manualLayout>
      </c:layout>
      <c:barChart>
        <c:barDir val="col"/>
        <c:grouping val="clustered"/>
        <c:varyColors val="0"/>
        <c:ser>
          <c:idx val="1"/>
          <c:order val="0"/>
          <c:invertIfNegative val="0"/>
          <c:cat>
            <c:numRef>
              <c:f>'Business Plan'!$D$51:$AH$51</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Plan'!$D$47:$AH$47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150"/>
        <c:axId val="47812608"/>
        <c:axId val="47814528"/>
      </c:barChart>
      <c:catAx>
        <c:axId val="47812608"/>
        <c:scaling>
          <c:orientation val="minMax"/>
        </c:scaling>
        <c:delete val="0"/>
        <c:axPos val="b"/>
        <c:majorGridlines>
          <c:spPr>
            <a:ln>
              <a:solidFill>
                <a:schemeClr val="tx1"/>
              </a:solidFill>
              <a:prstDash val="dash"/>
            </a:ln>
          </c:spPr>
        </c:majorGridlines>
        <c:title>
          <c:tx>
            <c:rich>
              <a:bodyPr anchor="b" anchorCtr="1"/>
              <a:lstStyle/>
              <a:p>
                <a:pPr>
                  <a:defRPr sz="1000" b="1" i="0" u="none" strike="noStrike" baseline="0">
                    <a:solidFill>
                      <a:srgbClr val="000000"/>
                    </a:solidFill>
                    <a:latin typeface="Calibri"/>
                    <a:ea typeface="Calibri"/>
                    <a:cs typeface="Calibri"/>
                  </a:defRPr>
                </a:pPr>
                <a:r>
                  <a:rPr lang="it-CH" sz="1200"/>
                  <a:t>tempo [anni]</a:t>
                </a:r>
              </a:p>
            </c:rich>
          </c:tx>
          <c:layout>
            <c:manualLayout>
              <c:xMode val="edge"/>
              <c:yMode val="edge"/>
              <c:x val="0.48091610100461579"/>
              <c:y val="0.89815069991251095"/>
            </c:manualLayout>
          </c:layout>
          <c:overlay val="0"/>
          <c:spPr>
            <a:noFill/>
            <a:ln w="25400">
              <a:noFill/>
            </a:ln>
          </c:spPr>
        </c:title>
        <c:numFmt formatCode="General" sourceLinked="1"/>
        <c:majorTickMark val="out"/>
        <c:minorTickMark val="none"/>
        <c:tickLblPos val="low"/>
        <c:spPr>
          <a:ln>
            <a:solidFill>
              <a:schemeClr val="tx1"/>
            </a:solidFill>
            <a:prstDash val="dash"/>
          </a:ln>
        </c:spPr>
        <c:crossAx val="47814528"/>
        <c:crosses val="autoZero"/>
        <c:auto val="1"/>
        <c:lblAlgn val="ctr"/>
        <c:lblOffset val="100"/>
        <c:noMultiLvlLbl val="0"/>
      </c:catAx>
      <c:valAx>
        <c:axId val="47814528"/>
        <c:scaling>
          <c:orientation val="minMax"/>
        </c:scaling>
        <c:delete val="0"/>
        <c:axPos val="l"/>
        <c:majorGridlines>
          <c:spPr>
            <a:ln>
              <a:solidFill>
                <a:schemeClr val="tx1"/>
              </a:solidFill>
              <a:prstDash val="dash"/>
            </a:ln>
          </c:spPr>
        </c:majorGridlines>
        <c:title>
          <c:tx>
            <c:rich>
              <a:bodyPr/>
              <a:lstStyle/>
              <a:p>
                <a:pPr>
                  <a:defRPr sz="1000" b="1" i="0" u="none" strike="noStrike" baseline="0">
                    <a:solidFill>
                      <a:srgbClr val="000000"/>
                    </a:solidFill>
                    <a:latin typeface="Calibri"/>
                    <a:ea typeface="Calibri"/>
                    <a:cs typeface="Calibri"/>
                  </a:defRPr>
                </a:pPr>
                <a:r>
                  <a:rPr lang="it-CH" sz="1200"/>
                  <a:t>NPV [CHF]</a:t>
                </a:r>
              </a:p>
            </c:rich>
          </c:tx>
          <c:layout>
            <c:manualLayout>
              <c:xMode val="edge"/>
              <c:yMode val="edge"/>
              <c:x val="1.4583401212779436E-2"/>
              <c:y val="0.38310185185185186"/>
            </c:manualLayout>
          </c:layout>
          <c:overlay val="0"/>
          <c:spPr>
            <a:noFill/>
            <a:ln w="25400">
              <a:noFill/>
            </a:ln>
          </c:spPr>
        </c:title>
        <c:numFmt formatCode="#,##0" sourceLinked="1"/>
        <c:majorTickMark val="out"/>
        <c:minorTickMark val="none"/>
        <c:tickLblPos val="nextTo"/>
        <c:spPr>
          <a:ln w="3175">
            <a:solidFill>
              <a:srgbClr val="000000"/>
            </a:solidFill>
            <a:prstDash val="solid"/>
          </a:ln>
        </c:spPr>
        <c:crossAx val="47812608"/>
        <c:crosses val="autoZero"/>
        <c:crossBetween val="between"/>
      </c:valAx>
      <c:spPr>
        <a:ln>
          <a:solidFill>
            <a:schemeClr val="tx1"/>
          </a:solidFill>
        </a:ln>
      </c:spPr>
    </c:plotArea>
    <c:plotVisOnly val="1"/>
    <c:dispBlanksAs val="gap"/>
    <c:showDLblsOverMax val="0"/>
  </c:chart>
  <c:spPr>
    <a:ln>
      <a:solidFill>
        <a:schemeClr val="tx1"/>
      </a:solidFill>
    </a:ln>
  </c:spPr>
  <c:printSettings>
    <c:headerFooter/>
    <c:pageMargins b="0.75000000000000033" l="0.70000000000000029" r="0.70000000000000029" t="0.75000000000000033" header="0.30000000000000016" footer="0.30000000000000016"/>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it-CH" sz="1400"/>
              <a:t>Net Present Value Cumulativo</a:t>
            </a:r>
          </a:p>
        </c:rich>
      </c:tx>
      <c:layout>
        <c:manualLayout>
          <c:xMode val="edge"/>
          <c:yMode val="edge"/>
          <c:x val="0.31878550064962807"/>
          <c:y val="1.7361111111111112E-2"/>
        </c:manualLayout>
      </c:layout>
      <c:overlay val="0"/>
      <c:spPr>
        <a:noFill/>
        <a:ln w="25400">
          <a:noFill/>
        </a:ln>
      </c:spPr>
    </c:title>
    <c:autoTitleDeleted val="0"/>
    <c:plotArea>
      <c:layout>
        <c:manualLayout>
          <c:layoutTarget val="inner"/>
          <c:xMode val="edge"/>
          <c:yMode val="edge"/>
          <c:x val="0.17861302220943315"/>
          <c:y val="0.14583369787109948"/>
          <c:w val="0.80131390552925053"/>
          <c:h val="0.64583552325955973"/>
        </c:manualLayout>
      </c:layout>
      <c:barChart>
        <c:barDir val="col"/>
        <c:grouping val="clustered"/>
        <c:varyColors val="0"/>
        <c:ser>
          <c:idx val="0"/>
          <c:order val="0"/>
          <c:tx>
            <c:v>NPV senza incentivi</c:v>
          </c:tx>
          <c:spPr>
            <a:solidFill>
              <a:srgbClr val="993366"/>
            </a:solidFill>
            <a:ln w="25400">
              <a:noFill/>
            </a:ln>
          </c:spPr>
          <c:invertIfNegative val="0"/>
          <c:cat>
            <c:numRef>
              <c:f>'Business Plan'!$D$6:$AH$6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Plan'!$D$47:$AH$47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v>NPV con incentivi</c:v>
          </c:tx>
          <c:spPr>
            <a:solidFill>
              <a:srgbClr val="339966"/>
            </a:solidFill>
            <a:ln w="25400">
              <a:noFill/>
            </a:ln>
          </c:spPr>
          <c:invertIfNegative val="0"/>
          <c:cat>
            <c:numRef>
              <c:f>'Business Plan'!$D$6:$AH$6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Plan'!$D$54:$AH$54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150"/>
        <c:axId val="47987328"/>
        <c:axId val="48009984"/>
      </c:barChart>
      <c:catAx>
        <c:axId val="47987328"/>
        <c:scaling>
          <c:orientation val="minMax"/>
        </c:scaling>
        <c:delete val="0"/>
        <c:axPos val="b"/>
        <c:majorGridlines>
          <c:spPr>
            <a:ln>
              <a:solidFill>
                <a:schemeClr val="tx1"/>
              </a:solidFill>
              <a:prstDash val="dash"/>
            </a:ln>
          </c:spPr>
        </c:majorGridlines>
        <c:title>
          <c:tx>
            <c:rich>
              <a:bodyPr anchor="b" anchorCtr="1"/>
              <a:lstStyle/>
              <a:p>
                <a:pPr>
                  <a:defRPr sz="1000" b="1" i="0" u="none" strike="noStrike" baseline="0">
                    <a:solidFill>
                      <a:srgbClr val="000000"/>
                    </a:solidFill>
                    <a:latin typeface="Calibri"/>
                    <a:ea typeface="Calibri"/>
                    <a:cs typeface="Calibri"/>
                  </a:defRPr>
                </a:pPr>
                <a:r>
                  <a:rPr lang="it-CH" sz="1200"/>
                  <a:t>tempo [anni]</a:t>
                </a:r>
              </a:p>
            </c:rich>
          </c:tx>
          <c:layout>
            <c:manualLayout>
              <c:xMode val="edge"/>
              <c:yMode val="edge"/>
              <c:x val="0.45920300660091906"/>
              <c:y val="0.88541958296879553"/>
            </c:manualLayout>
          </c:layout>
          <c:overlay val="0"/>
          <c:spPr>
            <a:noFill/>
            <a:ln w="25400">
              <a:noFill/>
            </a:ln>
          </c:spPr>
        </c:title>
        <c:numFmt formatCode="General" sourceLinked="1"/>
        <c:majorTickMark val="none"/>
        <c:minorTickMark val="none"/>
        <c:tickLblPos val="low"/>
        <c:spPr>
          <a:ln>
            <a:solidFill>
              <a:schemeClr val="tx1"/>
            </a:solidFill>
            <a:prstDash val="dash"/>
          </a:ln>
        </c:spPr>
        <c:txPr>
          <a:bodyPr rot="0" vert="horz"/>
          <a:lstStyle/>
          <a:p>
            <a:pPr>
              <a:defRPr sz="900" b="0" i="0" u="none" strike="noStrike" baseline="0">
                <a:solidFill>
                  <a:srgbClr val="000000"/>
                </a:solidFill>
                <a:latin typeface="Calibri"/>
                <a:ea typeface="Calibri"/>
                <a:cs typeface="Calibri"/>
              </a:defRPr>
            </a:pPr>
            <a:endParaRPr lang="it-CH"/>
          </a:p>
        </c:txPr>
        <c:crossAx val="48009984"/>
        <c:crosses val="autoZero"/>
        <c:auto val="1"/>
        <c:lblAlgn val="ctr"/>
        <c:lblOffset val="100"/>
        <c:noMultiLvlLbl val="0"/>
      </c:catAx>
      <c:valAx>
        <c:axId val="48009984"/>
        <c:scaling>
          <c:orientation val="minMax"/>
        </c:scaling>
        <c:delete val="0"/>
        <c:axPos val="l"/>
        <c:majorGridlines>
          <c:spPr>
            <a:ln>
              <a:solidFill>
                <a:schemeClr val="tx1"/>
              </a:solidFill>
              <a:prstDash val="dash"/>
            </a:ln>
          </c:spPr>
        </c:majorGridlines>
        <c:title>
          <c:tx>
            <c:rich>
              <a:bodyPr/>
              <a:lstStyle/>
              <a:p>
                <a:pPr>
                  <a:defRPr sz="1000" b="1" i="0" u="none" strike="noStrike" baseline="0">
                    <a:solidFill>
                      <a:srgbClr val="000000"/>
                    </a:solidFill>
                    <a:latin typeface="Calibri"/>
                    <a:ea typeface="Calibri"/>
                    <a:cs typeface="Calibri"/>
                  </a:defRPr>
                </a:pPr>
                <a:r>
                  <a:rPr lang="it-CH" sz="1200"/>
                  <a:t>NPV [CHF]</a:t>
                </a:r>
              </a:p>
            </c:rich>
          </c:tx>
          <c:layout>
            <c:manualLayout>
              <c:xMode val="edge"/>
              <c:yMode val="edge"/>
              <c:x val="1.4583409631935542E-2"/>
              <c:y val="0.38310185185185186"/>
            </c:manualLayout>
          </c:layout>
          <c:overlay val="0"/>
          <c:spPr>
            <a:noFill/>
            <a:ln w="25400">
              <a:noFill/>
            </a:ln>
          </c:spPr>
        </c:title>
        <c:numFmt formatCode="#,##0" sourceLinked="1"/>
        <c:majorTickMark val="out"/>
        <c:minorTickMark val="none"/>
        <c:tickLblPos val="nextTo"/>
        <c:spPr>
          <a:ln w="3175">
            <a:solidFill>
              <a:srgbClr val="000000"/>
            </a:solidFill>
            <a:prstDash val="solid"/>
          </a:ln>
        </c:spPr>
        <c:crossAx val="47987328"/>
        <c:crosses val="autoZero"/>
        <c:crossBetween val="between"/>
      </c:valAx>
      <c:spPr>
        <a:ln>
          <a:solidFill>
            <a:schemeClr val="tx1"/>
          </a:solidFill>
        </a:ln>
      </c:spPr>
    </c:plotArea>
    <c:legend>
      <c:legendPos val="r"/>
      <c:layout>
        <c:manualLayout>
          <c:xMode val="edge"/>
          <c:yMode val="edge"/>
          <c:x val="0.64119601328903653"/>
          <c:y val="0.57638888888888884"/>
          <c:w val="0.24086378737541528"/>
          <c:h val="0.1527777777777777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it-CH"/>
        </a:p>
      </c:txPr>
    </c:legend>
    <c:plotVisOnly val="1"/>
    <c:dispBlanksAs val="gap"/>
    <c:showDLblsOverMax val="0"/>
  </c:chart>
  <c:spPr>
    <a:ln>
      <a:solidFill>
        <a:schemeClr val="tx1"/>
      </a:solidFill>
    </a:ln>
  </c:spPr>
  <c:printSettings>
    <c:headerFooter/>
    <c:pageMargins b="0.75000000000000033" l="0.70000000000000029" r="0.70000000000000029" t="0.75000000000000033" header="0.30000000000000016" footer="0.30000000000000016"/>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it-CH"/>
              <a:t>Totale entrate annuali</a:t>
            </a:r>
          </a:p>
        </c:rich>
      </c:tx>
      <c:layout>
        <c:manualLayout>
          <c:xMode val="edge"/>
          <c:yMode val="edge"/>
          <c:x val="0.37858539234319849"/>
          <c:y val="1.7361111111111112E-2"/>
        </c:manualLayout>
      </c:layout>
      <c:overlay val="0"/>
      <c:spPr>
        <a:noFill/>
        <a:ln w="25400">
          <a:noFill/>
        </a:ln>
      </c:spPr>
    </c:title>
    <c:autoTitleDeleted val="0"/>
    <c:plotArea>
      <c:layout>
        <c:manualLayout>
          <c:layoutTarget val="inner"/>
          <c:xMode val="edge"/>
          <c:yMode val="edge"/>
          <c:x val="0.18121386550819085"/>
          <c:y val="0.15625052982086121"/>
          <c:w val="0.80032582134129782"/>
          <c:h val="0.64583552325955973"/>
        </c:manualLayout>
      </c:layout>
      <c:barChart>
        <c:barDir val="col"/>
        <c:grouping val="clustered"/>
        <c:varyColors val="0"/>
        <c:ser>
          <c:idx val="1"/>
          <c:order val="0"/>
          <c:spPr>
            <a:solidFill>
              <a:srgbClr val="008000"/>
            </a:solidFill>
            <a:ln w="25400">
              <a:noFill/>
            </a:ln>
          </c:spPr>
          <c:invertIfNegative val="0"/>
          <c:cat>
            <c:numRef>
              <c:f>'Business Plan'!$D$51:$AH$51</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Plan'!$D$42:$AH$42</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150"/>
        <c:axId val="48702592"/>
        <c:axId val="48704512"/>
      </c:barChart>
      <c:catAx>
        <c:axId val="48702592"/>
        <c:scaling>
          <c:orientation val="minMax"/>
        </c:scaling>
        <c:delete val="0"/>
        <c:axPos val="b"/>
        <c:majorGridlines>
          <c:spPr>
            <a:ln>
              <a:solidFill>
                <a:schemeClr val="tx1"/>
              </a:solidFill>
              <a:prstDash val="dash"/>
            </a:ln>
          </c:spPr>
        </c:majorGridlines>
        <c:title>
          <c:tx>
            <c:rich>
              <a:bodyPr anchor="b" anchorCtr="1"/>
              <a:lstStyle/>
              <a:p>
                <a:pPr>
                  <a:defRPr sz="1000" b="1" i="0" u="none" strike="noStrike" baseline="0">
                    <a:solidFill>
                      <a:srgbClr val="000000"/>
                    </a:solidFill>
                    <a:latin typeface="Calibri"/>
                    <a:ea typeface="Calibri"/>
                    <a:cs typeface="Calibri"/>
                  </a:defRPr>
                </a:pPr>
                <a:r>
                  <a:rPr lang="it-CH" sz="1200"/>
                  <a:t>tempo [anni]</a:t>
                </a:r>
              </a:p>
            </c:rich>
          </c:tx>
          <c:layout>
            <c:manualLayout>
              <c:xMode val="edge"/>
              <c:yMode val="edge"/>
              <c:x val="0.47036365281925968"/>
              <c:y val="0.88541958296879553"/>
            </c:manualLayout>
          </c:layout>
          <c:overlay val="0"/>
          <c:spPr>
            <a:noFill/>
            <a:ln w="25400">
              <a:noFill/>
            </a:ln>
          </c:spPr>
        </c:title>
        <c:numFmt formatCode="General" sourceLinked="1"/>
        <c:majorTickMark val="none"/>
        <c:minorTickMark val="none"/>
        <c:tickLblPos val="low"/>
        <c:spPr>
          <a:ln>
            <a:solidFill>
              <a:schemeClr val="tx1"/>
            </a:solidFill>
            <a:prstDash val="dash"/>
          </a:ln>
        </c:spPr>
        <c:txPr>
          <a:bodyPr rot="0" vert="horz"/>
          <a:lstStyle/>
          <a:p>
            <a:pPr>
              <a:defRPr sz="900" b="0" i="0" u="none" strike="noStrike" baseline="0">
                <a:solidFill>
                  <a:srgbClr val="000000"/>
                </a:solidFill>
                <a:latin typeface="Calibri"/>
                <a:ea typeface="Calibri"/>
                <a:cs typeface="Calibri"/>
              </a:defRPr>
            </a:pPr>
            <a:endParaRPr lang="it-CH"/>
          </a:p>
        </c:txPr>
        <c:crossAx val="48704512"/>
        <c:crosses val="autoZero"/>
        <c:auto val="1"/>
        <c:lblAlgn val="ctr"/>
        <c:lblOffset val="100"/>
        <c:noMultiLvlLbl val="0"/>
      </c:catAx>
      <c:valAx>
        <c:axId val="48704512"/>
        <c:scaling>
          <c:orientation val="minMax"/>
        </c:scaling>
        <c:delete val="0"/>
        <c:axPos val="l"/>
        <c:majorGridlines>
          <c:spPr>
            <a:ln>
              <a:solidFill>
                <a:schemeClr val="tx1"/>
              </a:solidFill>
              <a:prstDash val="dash"/>
            </a:ln>
          </c:spPr>
        </c:majorGridlines>
        <c:title>
          <c:tx>
            <c:rich>
              <a:bodyPr/>
              <a:lstStyle/>
              <a:p>
                <a:pPr>
                  <a:defRPr sz="1000" b="1" i="0" u="none" strike="noStrike" baseline="0">
                    <a:solidFill>
                      <a:srgbClr val="000000"/>
                    </a:solidFill>
                    <a:latin typeface="Calibri"/>
                    <a:ea typeface="Calibri"/>
                    <a:cs typeface="Calibri"/>
                  </a:defRPr>
                </a:pPr>
                <a:r>
                  <a:rPr lang="it-CH" sz="1200"/>
                  <a:t>Entrate</a:t>
                </a:r>
                <a:r>
                  <a:rPr lang="it-CH" sz="1200" baseline="0"/>
                  <a:t> </a:t>
                </a:r>
                <a:r>
                  <a:rPr lang="it-CH" sz="1200"/>
                  <a:t>[CHF]</a:t>
                </a:r>
              </a:p>
            </c:rich>
          </c:tx>
          <c:layout>
            <c:manualLayout>
              <c:xMode val="edge"/>
              <c:yMode val="edge"/>
              <c:x val="2.4780885147977195E-2"/>
              <c:y val="0.34143518518518517"/>
            </c:manualLayout>
          </c:layout>
          <c:overlay val="0"/>
          <c:spPr>
            <a:noFill/>
            <a:ln w="25400">
              <a:noFill/>
            </a:ln>
          </c:spPr>
        </c:title>
        <c:numFmt formatCode="#,##0" sourceLinked="1"/>
        <c:majorTickMark val="out"/>
        <c:minorTickMark val="none"/>
        <c:tickLblPos val="nextTo"/>
        <c:spPr>
          <a:ln w="3175">
            <a:solidFill>
              <a:srgbClr val="000000"/>
            </a:solidFill>
            <a:prstDash val="solid"/>
          </a:ln>
        </c:spPr>
        <c:crossAx val="48702592"/>
        <c:crosses val="autoZero"/>
        <c:crossBetween val="between"/>
      </c:valAx>
      <c:spPr>
        <a:ln>
          <a:solidFill>
            <a:schemeClr val="tx1"/>
          </a:solidFill>
        </a:ln>
      </c:spPr>
    </c:plotArea>
    <c:plotVisOnly val="1"/>
    <c:dispBlanksAs val="gap"/>
    <c:showDLblsOverMax val="0"/>
  </c:chart>
  <c:spPr>
    <a:ln>
      <a:solidFill>
        <a:schemeClr val="tx1"/>
      </a:solidFill>
    </a:ln>
  </c:spPr>
  <c:printSettings>
    <c:headerFooter/>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100" b="1"/>
              <a:t>TOTALE - COMPLESSIVO</a:t>
            </a:r>
          </a:p>
          <a:p>
            <a:pPr>
              <a:defRPr sz="1400" b="0" i="0" u="none" strike="noStrike" kern="1200" spc="0" baseline="0">
                <a:solidFill>
                  <a:schemeClr val="tx1">
                    <a:lumMod val="65000"/>
                    <a:lumOff val="35000"/>
                  </a:schemeClr>
                </a:solidFill>
                <a:latin typeface="+mn-lt"/>
                <a:ea typeface="+mn-ea"/>
                <a:cs typeface="+mn-cs"/>
              </a:defRPr>
            </a:pPr>
            <a:r>
              <a:rPr lang="it-CH" sz="1100" b="1"/>
              <a:t>(suddivisione investimenti)</a:t>
            </a:r>
          </a:p>
        </c:rich>
      </c:tx>
      <c:layout>
        <c:manualLayout>
          <c:xMode val="edge"/>
          <c:yMode val="edge"/>
          <c:x val="0.61015266841644789"/>
          <c:y val="1.8518518518518517E-2"/>
        </c:manualLayout>
      </c:layout>
      <c:overlay val="0"/>
      <c:spPr>
        <a:noFill/>
        <a:ln w="25400">
          <a:noFill/>
        </a:ln>
      </c:spPr>
    </c:title>
    <c:autoTitleDeleted val="0"/>
    <c:plotArea>
      <c:layout>
        <c:manualLayout>
          <c:layoutTarget val="inner"/>
          <c:xMode val="edge"/>
          <c:yMode val="edge"/>
          <c:x val="0.26356397478015731"/>
          <c:y val="0.19796781618338669"/>
          <c:w val="0.46901935669539802"/>
          <c:h val="0.69907385089758423"/>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Lbls>
            <c:dLbl>
              <c:idx val="0"/>
              <c:layout>
                <c:manualLayout>
                  <c:x val="6.2357819830993678E-2"/>
                  <c:y val="-7.3107539639736818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3.0210629921259842E-2"/>
                  <c:y val="5.0977325750947801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5.8903215223097112E-2"/>
                  <c:y val="5.5938320209973792E-3"/>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Investimenti!$R$7:$R$9</c:f>
              <c:strCache>
                <c:ptCount val="3"/>
                <c:pt idx="0">
                  <c:v>CENTRALE</c:v>
                </c:pt>
                <c:pt idx="1">
                  <c:v>DISTRIBUZIONE CALORE</c:v>
                </c:pt>
                <c:pt idx="2">
                  <c:v>ONORARI E ALTRI COSTI</c:v>
                </c:pt>
              </c:strCache>
            </c:strRef>
          </c:cat>
          <c:val>
            <c:numRef>
              <c:f>Investimenti!$S$7:$S$9</c:f>
              <c:numCache>
                <c:formatCode>0%</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100" b="1"/>
              <a:t>DISTRIBUZIONE CALORE</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100" b="1" i="0" baseline="0">
                <a:effectLst/>
              </a:rPr>
              <a:t>(suddivisione investimenti)</a:t>
            </a:r>
            <a:endParaRPr lang="it-CH" sz="1100">
              <a:effectLst/>
            </a:endParaRPr>
          </a:p>
        </c:rich>
      </c:tx>
      <c:layout>
        <c:manualLayout>
          <c:xMode val="edge"/>
          <c:yMode val="edge"/>
          <c:x val="0.60107874015748031"/>
          <c:y val="3.3342580144961552E-3"/>
        </c:manualLayout>
      </c:layout>
      <c:overlay val="0"/>
      <c:spPr>
        <a:noFill/>
        <a:ln w="25400">
          <a:noFill/>
        </a:ln>
      </c:spPr>
    </c:title>
    <c:autoTitleDeleted val="0"/>
    <c:plotArea>
      <c:layout>
        <c:manualLayout>
          <c:layoutTarget val="inner"/>
          <c:xMode val="edge"/>
          <c:yMode val="edge"/>
          <c:x val="0.15195921922767114"/>
          <c:y val="0.2015253448467991"/>
          <c:w val="0.54580571155260937"/>
          <c:h val="0.71550730320274658"/>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Pt>
            <c:idx val="4"/>
            <c:bubble3D val="0"/>
            <c:spPr>
              <a:solidFill>
                <a:srgbClr val="4472C4"/>
              </a:solidFill>
              <a:ln w="12700">
                <a:solidFill>
                  <a:srgbClr val="FFFFFF"/>
                </a:solidFill>
                <a:prstDash val="solid"/>
              </a:ln>
            </c:spPr>
          </c:dPt>
          <c:dPt>
            <c:idx val="5"/>
            <c:bubble3D val="0"/>
            <c:spPr>
              <a:solidFill>
                <a:srgbClr val="70AD47"/>
              </a:solidFill>
              <a:ln w="12700">
                <a:solidFill>
                  <a:srgbClr val="FFFFFF"/>
                </a:solidFill>
                <a:prstDash val="solid"/>
              </a:ln>
            </c:spPr>
          </c:dPt>
          <c:dLbls>
            <c:dLbl>
              <c:idx val="0"/>
              <c:layout>
                <c:manualLayout>
                  <c:x val="0.22873820628536529"/>
                  <c:y val="1.6853701506489772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7.7091083039080549E-2"/>
                  <c:y val="4.445173120483227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2.2774347451172919E-2"/>
                  <c:y val="3.169366842843261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0.27428940035035998"/>
                  <c:y val="-1.4681904859413595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4.9371778168016765E-2"/>
                  <c:y val="-0.16395814906698303"/>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5.9932148769173639E-2"/>
                  <c:y val="-4.5795850861108101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Investimenti!$R$26:$R$31</c:f>
              <c:strCache>
                <c:ptCount val="6"/>
                <c:pt idx="0">
                  <c:v>Condotte primarie</c:v>
                </c:pt>
                <c:pt idx="1">
                  <c:v>Scavo, posa, ripristino</c:v>
                </c:pt>
                <c:pt idx="2">
                  <c:v>stacco a confine (condotte e lavori)</c:v>
                </c:pt>
                <c:pt idx="3">
                  <c:v>sottostazioni</c:v>
                </c:pt>
                <c:pt idx="4">
                  <c:v>telegestione, impianto elettrico</c:v>
                </c:pt>
                <c:pt idx="5">
                  <c:v>Altro </c:v>
                </c:pt>
              </c:strCache>
            </c:strRef>
          </c:cat>
          <c:val>
            <c:numRef>
              <c:f>Investimenti!$S$26:$S$31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it-CH" sz="1400"/>
              <a:t>Net Present Value Cumulativo</a:t>
            </a:r>
          </a:p>
        </c:rich>
      </c:tx>
      <c:layout>
        <c:manualLayout>
          <c:xMode val="edge"/>
          <c:yMode val="edge"/>
          <c:x val="0.31878550064962807"/>
          <c:y val="1.7361111111111112E-2"/>
        </c:manualLayout>
      </c:layout>
      <c:overlay val="0"/>
      <c:spPr>
        <a:noFill/>
        <a:ln w="25400">
          <a:noFill/>
        </a:ln>
      </c:spPr>
    </c:title>
    <c:autoTitleDeleted val="0"/>
    <c:plotArea>
      <c:layout>
        <c:manualLayout>
          <c:layoutTarget val="inner"/>
          <c:xMode val="edge"/>
          <c:yMode val="edge"/>
          <c:x val="0.17861302220943315"/>
          <c:y val="0.14583369787109948"/>
          <c:w val="0.80131390552925053"/>
          <c:h val="0.64583552325955973"/>
        </c:manualLayout>
      </c:layout>
      <c:barChart>
        <c:barDir val="col"/>
        <c:grouping val="clustered"/>
        <c:varyColors val="0"/>
        <c:ser>
          <c:idx val="0"/>
          <c:order val="0"/>
          <c:tx>
            <c:v>NPV senza incentivi</c:v>
          </c:tx>
          <c:spPr>
            <a:solidFill>
              <a:srgbClr val="993366"/>
            </a:solidFill>
            <a:ln w="25400">
              <a:noFill/>
            </a:ln>
          </c:spPr>
          <c:invertIfNegative val="0"/>
          <c:cat>
            <c:numRef>
              <c:f>'Business Plan'!$D$6:$AH$6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Plan'!$D$47:$AH$47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v>NPV con incentivi</c:v>
          </c:tx>
          <c:spPr>
            <a:solidFill>
              <a:srgbClr val="339966"/>
            </a:solidFill>
            <a:ln w="25400">
              <a:noFill/>
            </a:ln>
          </c:spPr>
          <c:invertIfNegative val="0"/>
          <c:cat>
            <c:numRef>
              <c:f>'Business Plan'!$D$6:$AH$6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'Business Plan'!$D$54:$AH$54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150"/>
        <c:axId val="48325376"/>
        <c:axId val="48327296"/>
      </c:barChart>
      <c:catAx>
        <c:axId val="48325376"/>
        <c:scaling>
          <c:orientation val="minMax"/>
        </c:scaling>
        <c:delete val="0"/>
        <c:axPos val="b"/>
        <c:majorGridlines>
          <c:spPr>
            <a:ln>
              <a:solidFill>
                <a:schemeClr val="tx1"/>
              </a:solidFill>
              <a:prstDash val="dash"/>
            </a:ln>
          </c:spPr>
        </c:majorGridlines>
        <c:title>
          <c:tx>
            <c:rich>
              <a:bodyPr anchor="b" anchorCtr="1"/>
              <a:lstStyle/>
              <a:p>
                <a:pPr>
                  <a:defRPr sz="1000" b="1" i="0" u="none" strike="noStrike" baseline="0">
                    <a:solidFill>
                      <a:srgbClr val="000000"/>
                    </a:solidFill>
                    <a:latin typeface="Calibri"/>
                    <a:ea typeface="Calibri"/>
                    <a:cs typeface="Calibri"/>
                  </a:defRPr>
                </a:pPr>
                <a:r>
                  <a:rPr lang="it-CH" sz="1200"/>
                  <a:t>tempo [anni]</a:t>
                </a:r>
              </a:p>
            </c:rich>
          </c:tx>
          <c:layout>
            <c:manualLayout>
              <c:xMode val="edge"/>
              <c:yMode val="edge"/>
              <c:x val="0.45920300660091906"/>
              <c:y val="0.88541958296879553"/>
            </c:manualLayout>
          </c:layout>
          <c:overlay val="0"/>
          <c:spPr>
            <a:noFill/>
            <a:ln w="25400">
              <a:noFill/>
            </a:ln>
          </c:spPr>
        </c:title>
        <c:numFmt formatCode="General" sourceLinked="1"/>
        <c:majorTickMark val="none"/>
        <c:minorTickMark val="none"/>
        <c:tickLblPos val="low"/>
        <c:spPr>
          <a:ln>
            <a:solidFill>
              <a:schemeClr val="tx1"/>
            </a:solidFill>
            <a:prstDash val="dash"/>
          </a:ln>
        </c:spPr>
        <c:txPr>
          <a:bodyPr rot="0" vert="horz"/>
          <a:lstStyle/>
          <a:p>
            <a:pPr>
              <a:defRPr sz="900" b="0" i="0" u="none" strike="noStrike" baseline="0">
                <a:solidFill>
                  <a:srgbClr val="000000"/>
                </a:solidFill>
                <a:latin typeface="Calibri"/>
                <a:ea typeface="Calibri"/>
                <a:cs typeface="Calibri"/>
              </a:defRPr>
            </a:pPr>
            <a:endParaRPr lang="it-CH"/>
          </a:p>
        </c:txPr>
        <c:crossAx val="48327296"/>
        <c:crosses val="autoZero"/>
        <c:auto val="1"/>
        <c:lblAlgn val="ctr"/>
        <c:lblOffset val="100"/>
        <c:noMultiLvlLbl val="0"/>
      </c:catAx>
      <c:valAx>
        <c:axId val="48327296"/>
        <c:scaling>
          <c:orientation val="minMax"/>
        </c:scaling>
        <c:delete val="0"/>
        <c:axPos val="l"/>
        <c:majorGridlines>
          <c:spPr>
            <a:ln>
              <a:solidFill>
                <a:schemeClr val="tx1"/>
              </a:solidFill>
              <a:prstDash val="dash"/>
            </a:ln>
          </c:spPr>
        </c:majorGridlines>
        <c:title>
          <c:tx>
            <c:rich>
              <a:bodyPr/>
              <a:lstStyle/>
              <a:p>
                <a:pPr>
                  <a:defRPr sz="1000" b="1" i="0" u="none" strike="noStrike" baseline="0">
                    <a:solidFill>
                      <a:srgbClr val="000000"/>
                    </a:solidFill>
                    <a:latin typeface="Calibri"/>
                    <a:ea typeface="Calibri"/>
                    <a:cs typeface="Calibri"/>
                  </a:defRPr>
                </a:pPr>
                <a:r>
                  <a:rPr lang="it-CH" sz="1200"/>
                  <a:t>NPV [CHF]</a:t>
                </a:r>
              </a:p>
            </c:rich>
          </c:tx>
          <c:layout>
            <c:manualLayout>
              <c:xMode val="edge"/>
              <c:yMode val="edge"/>
              <c:x val="1.4583409631935542E-2"/>
              <c:y val="0.38310185185185186"/>
            </c:manualLayout>
          </c:layout>
          <c:overlay val="0"/>
          <c:spPr>
            <a:noFill/>
            <a:ln w="25400">
              <a:noFill/>
            </a:ln>
          </c:spPr>
        </c:title>
        <c:numFmt formatCode="#,##0" sourceLinked="1"/>
        <c:majorTickMark val="out"/>
        <c:minorTickMark val="none"/>
        <c:tickLblPos val="nextTo"/>
        <c:spPr>
          <a:ln w="3175">
            <a:solidFill>
              <a:srgbClr val="000000"/>
            </a:solidFill>
            <a:prstDash val="solid"/>
          </a:ln>
        </c:spPr>
        <c:crossAx val="48325376"/>
        <c:crosses val="autoZero"/>
        <c:crossBetween val="between"/>
      </c:valAx>
      <c:spPr>
        <a:ln>
          <a:solidFill>
            <a:schemeClr val="tx1"/>
          </a:solidFill>
        </a:ln>
      </c:spPr>
    </c:plotArea>
    <c:legend>
      <c:legendPos val="r"/>
      <c:layout>
        <c:manualLayout>
          <c:xMode val="edge"/>
          <c:yMode val="edge"/>
          <c:x val="0.64119601328903653"/>
          <c:y val="0.57638888888888884"/>
          <c:w val="0.24086378737541528"/>
          <c:h val="0.1527777777777777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it-CH"/>
        </a:p>
      </c:txPr>
    </c:legend>
    <c:plotVisOnly val="1"/>
    <c:dispBlanksAs val="gap"/>
    <c:showDLblsOverMax val="0"/>
  </c:chart>
  <c:spPr>
    <a:ln>
      <a:solidFill>
        <a:schemeClr val="tx1"/>
      </a:solidFill>
    </a:ln>
  </c:spPr>
  <c:printSettings>
    <c:headerFooter/>
    <c:pageMargins b="0.75000000000000033" l="0.70000000000000029" r="0.70000000000000029" t="0.75000000000000033" header="0.30000000000000016" footer="0.30000000000000016"/>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latin typeface="+mj-lt"/>
              </a:rPr>
              <a:t>Ripartizione</a:t>
            </a:r>
            <a:r>
              <a:rPr lang="it-CH" sz="1200" b="1" baseline="0">
                <a:latin typeface="+mj-lt"/>
              </a:rPr>
              <a:t> costi annuali produzione</a:t>
            </a:r>
            <a:endParaRPr lang="it-CH" sz="1200" b="1">
              <a:latin typeface="+mj-lt"/>
            </a:endParaRPr>
          </a:p>
        </c:rich>
      </c:tx>
      <c:layout>
        <c:manualLayout>
          <c:xMode val="edge"/>
          <c:yMode val="edge"/>
          <c:x val="0.34946804683122479"/>
          <c:y val="2.2084153543307086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20563640536453034"/>
          <c:y val="0.23815168861976807"/>
          <c:w val="0.58753258675580067"/>
          <c:h val="0.643009559273374"/>
        </c:manualLayout>
      </c:layout>
      <c:pie3DChart>
        <c:varyColors val="1"/>
        <c:ser>
          <c:idx val="0"/>
          <c:order val="0"/>
          <c:dPt>
            <c:idx val="0"/>
            <c:bubble3D val="0"/>
            <c:spPr>
              <a:solidFill>
                <a:srgbClr val="5B9BD5"/>
              </a:solidFill>
              <a:ln w="25400">
                <a:solidFill>
                  <a:srgbClr val="FFFFFF"/>
                </a:solidFill>
                <a:prstDash val="solid"/>
              </a:ln>
            </c:spPr>
          </c:dPt>
          <c:dPt>
            <c:idx val="1"/>
            <c:bubble3D val="0"/>
            <c:spPr>
              <a:solidFill>
                <a:srgbClr val="ED7D31"/>
              </a:solidFill>
              <a:ln w="25400">
                <a:solidFill>
                  <a:srgbClr val="FFFFFF"/>
                </a:solidFill>
                <a:prstDash val="solid"/>
              </a:ln>
            </c:spPr>
          </c:dPt>
          <c:dPt>
            <c:idx val="2"/>
            <c:bubble3D val="0"/>
            <c:spPr>
              <a:solidFill>
                <a:srgbClr val="A5A5A5"/>
              </a:solidFill>
              <a:ln w="25400">
                <a:solidFill>
                  <a:srgbClr val="FFFFFF"/>
                </a:solidFill>
                <a:prstDash val="solid"/>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Costi!$G$5:$G$8</c:f>
              <c:strCache>
                <c:ptCount val="4"/>
                <c:pt idx="0">
                  <c:v>VETTORE ENERGETICO</c:v>
                </c:pt>
                <c:pt idx="1">
                  <c:v>COSTI CENTRALE</c:v>
                </c:pt>
                <c:pt idx="2">
                  <c:v>COSTI DISTRIBUZIONE</c:v>
                </c:pt>
                <c:pt idx="3">
                  <c:v>ALTRI COSTI</c:v>
                </c:pt>
              </c:strCache>
            </c:strRef>
          </c:cat>
          <c:val>
            <c:numRef>
              <c:f>Costi!$H$5:$H$8</c:f>
              <c:numCache>
                <c:formatCode>0%</c:formatCode>
                <c:ptCount val="4"/>
                <c:pt idx="0">
                  <c:v>0</c:v>
                </c:pt>
                <c:pt idx="1">
                  <c:v>0</c:v>
                </c:pt>
                <c:pt idx="2">
                  <c:v>0</c:v>
                </c:pt>
                <c:pt idx="3">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t>COGENERAZIONE</a:t>
            </a:r>
          </a:p>
          <a:p>
            <a:pPr>
              <a:defRPr sz="1400" b="0" i="0" u="none" strike="noStrike" kern="1200" spc="0" baseline="0">
                <a:solidFill>
                  <a:schemeClr val="tx1">
                    <a:lumMod val="65000"/>
                    <a:lumOff val="35000"/>
                  </a:schemeClr>
                </a:solidFill>
                <a:latin typeface="+mn-lt"/>
                <a:ea typeface="+mn-ea"/>
                <a:cs typeface="+mn-cs"/>
              </a:defRPr>
            </a:pPr>
            <a:r>
              <a:rPr lang="it-CH" sz="1200" b="1"/>
              <a:t>ELETTRICA</a:t>
            </a:r>
          </a:p>
        </c:rich>
      </c:tx>
      <c:layout>
        <c:manualLayout>
          <c:xMode val="edge"/>
          <c:yMode val="edge"/>
          <c:x val="0.77930555555555558"/>
          <c:y val="9.2592881335377634E-3"/>
        </c:manualLayout>
      </c:layout>
      <c:overlay val="0"/>
      <c:spPr>
        <a:noFill/>
        <a:ln w="25400">
          <a:noFill/>
        </a:ln>
      </c:spPr>
    </c:title>
    <c:autoTitleDeleted val="0"/>
    <c:plotArea>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Lbls>
            <c:dLbl>
              <c:idx val="0"/>
              <c:layout>
                <c:manualLayout>
                  <c:x val="-8.7841207349081372E-3"/>
                  <c:y val="-2.261163906235859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9.36097987751532E-2"/>
                  <c:y val="1.022608380848946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1.6797681539807523E-2"/>
                  <c:y val="-1.3703321567562689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Investimenti!$AC$9:$AC$12</c:f>
              <c:strCache>
                <c:ptCount val="4"/>
                <c:pt idx="0">
                  <c:v>Opere civili</c:v>
                </c:pt>
                <c:pt idx="1">
                  <c:v>Cogeneratore</c:v>
                </c:pt>
                <c:pt idx="2">
                  <c:v>Impianto elettrico</c:v>
                </c:pt>
                <c:pt idx="3">
                  <c:v>Altro</c:v>
                </c:pt>
              </c:strCache>
            </c:strRef>
          </c:cat>
          <c:val>
            <c:numRef>
              <c:f>Investimenti!$AD$9:$AD$12</c:f>
              <c:numCache>
                <c:formatCode>0%</c:formatCode>
                <c:ptCount val="4"/>
                <c:pt idx="0">
                  <c:v>0</c:v>
                </c:pt>
                <c:pt idx="1">
                  <c:v>0</c:v>
                </c:pt>
                <c:pt idx="2">
                  <c:v>0</c:v>
                </c:pt>
                <c:pt idx="3" formatCode="General">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200" b="1"/>
              <a:t>DISTRIBUZIONE CALORE</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200" b="1" i="0" baseline="0">
                <a:effectLst/>
              </a:rPr>
              <a:t>(suddivisione investimenti</a:t>
            </a:r>
            <a:r>
              <a:rPr lang="it-CH" sz="1800" b="1" i="0" baseline="0">
                <a:effectLst/>
              </a:rPr>
              <a:t>)</a:t>
            </a:r>
            <a:endParaRPr lang="it-CH" sz="1200">
              <a:effectLst/>
            </a:endParaRPr>
          </a:p>
        </c:rich>
      </c:tx>
      <c:layout>
        <c:manualLayout>
          <c:xMode val="edge"/>
          <c:yMode val="edge"/>
          <c:x val="0.60107874015748031"/>
          <c:y val="3.3342580144961552E-3"/>
        </c:manualLayout>
      </c:layout>
      <c:overlay val="0"/>
      <c:spPr>
        <a:noFill/>
        <a:ln w="25400">
          <a:noFill/>
        </a:ln>
      </c:spPr>
    </c:title>
    <c:autoTitleDeleted val="0"/>
    <c:plotArea>
      <c:layout>
        <c:manualLayout>
          <c:layoutTarget val="inner"/>
          <c:xMode val="edge"/>
          <c:yMode val="edge"/>
          <c:x val="0.18173184783437346"/>
          <c:y val="0.19227547051313496"/>
          <c:w val="0.54580571155260937"/>
          <c:h val="0.71550730320274658"/>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Pt>
            <c:idx val="4"/>
            <c:bubble3D val="0"/>
            <c:spPr>
              <a:solidFill>
                <a:srgbClr val="4472C4"/>
              </a:solidFill>
              <a:ln w="12700">
                <a:solidFill>
                  <a:srgbClr val="FFFFFF"/>
                </a:solidFill>
                <a:prstDash val="solid"/>
              </a:ln>
            </c:spPr>
          </c:dPt>
          <c:dPt>
            <c:idx val="5"/>
            <c:bubble3D val="0"/>
            <c:spPr>
              <a:solidFill>
                <a:srgbClr val="70AD47"/>
              </a:solidFill>
              <a:ln w="12700">
                <a:solidFill>
                  <a:srgbClr val="FFFFFF"/>
                </a:solidFill>
                <a:prstDash val="solid"/>
              </a:ln>
            </c:spPr>
          </c:dPt>
          <c:dLbls>
            <c:dLbl>
              <c:idx val="0"/>
              <c:layout>
                <c:manualLayout>
                  <c:x val="0.16798687664041984"/>
                  <c:y val="5.338363954505692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3.5499526056330592E-3"/>
                  <c:y val="-1.764877293862092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0.20104659623875487"/>
                  <c:y val="-2.310096431064719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6.0730643044619489E-2"/>
                  <c:y val="-8.972331583552056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5.8964020122484716E-2"/>
                  <c:y val="-7.9939851268591419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0.13347328472914741"/>
                  <c:y val="-3.118411905109242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Investimenti!$R$26:$R$31</c:f>
              <c:strCache>
                <c:ptCount val="6"/>
                <c:pt idx="0">
                  <c:v>Condotte primarie</c:v>
                </c:pt>
                <c:pt idx="1">
                  <c:v>Scavo, posa, ripristino</c:v>
                </c:pt>
                <c:pt idx="2">
                  <c:v>stacco a confine (condotte e lavori)</c:v>
                </c:pt>
                <c:pt idx="3">
                  <c:v>sottostazioni</c:v>
                </c:pt>
                <c:pt idx="4">
                  <c:v>telegestione, impianto elettrico</c:v>
                </c:pt>
                <c:pt idx="5">
                  <c:v>Altro </c:v>
                </c:pt>
              </c:strCache>
            </c:strRef>
          </c:cat>
          <c:val>
            <c:numRef>
              <c:f>Investimenti!$S$26:$S$31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t>TOTALE - COMPLESSIVO</a:t>
            </a:r>
          </a:p>
          <a:p>
            <a:pPr>
              <a:defRPr sz="1400" b="0" i="0" u="none" strike="noStrike" kern="1200" spc="0" baseline="0">
                <a:solidFill>
                  <a:schemeClr val="tx1">
                    <a:lumMod val="65000"/>
                    <a:lumOff val="35000"/>
                  </a:schemeClr>
                </a:solidFill>
                <a:latin typeface="+mn-lt"/>
                <a:ea typeface="+mn-ea"/>
                <a:cs typeface="+mn-cs"/>
              </a:defRPr>
            </a:pPr>
            <a:r>
              <a:rPr lang="it-CH" sz="1200" b="1"/>
              <a:t>(suddivisione investimenti)</a:t>
            </a:r>
          </a:p>
        </c:rich>
      </c:tx>
      <c:layout>
        <c:manualLayout>
          <c:xMode val="edge"/>
          <c:yMode val="edge"/>
          <c:x val="0.61015266841644789"/>
          <c:y val="1.8518518518518517E-2"/>
        </c:manualLayout>
      </c:layout>
      <c:overlay val="0"/>
      <c:spPr>
        <a:noFill/>
        <a:ln w="25400">
          <a:noFill/>
        </a:ln>
      </c:spPr>
    </c:title>
    <c:autoTitleDeleted val="0"/>
    <c:plotArea>
      <c:layout>
        <c:manualLayout>
          <c:layoutTarget val="inner"/>
          <c:xMode val="edge"/>
          <c:yMode val="edge"/>
          <c:x val="0.26356397478015731"/>
          <c:y val="0.19796781618338669"/>
          <c:w val="0.46901935669539802"/>
          <c:h val="0.69907385089758423"/>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Lbls>
            <c:dLbl>
              <c:idx val="1"/>
              <c:layout>
                <c:manualLayout>
                  <c:x val="-3.0210629921259842E-2"/>
                  <c:y val="5.097732575094780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5.8903215223097112E-2"/>
                  <c:y val="5.5938320209973792E-3"/>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Investimenti!$R$7:$R$9</c:f>
              <c:strCache>
                <c:ptCount val="3"/>
                <c:pt idx="0">
                  <c:v>CENTRALE</c:v>
                </c:pt>
                <c:pt idx="1">
                  <c:v>DISTRIBUZIONE CALORE</c:v>
                </c:pt>
                <c:pt idx="2">
                  <c:v>ONORARI E ALTRI COSTI</c:v>
                </c:pt>
              </c:strCache>
            </c:strRef>
          </c:cat>
          <c:val>
            <c:numRef>
              <c:f>Investimenti!$S$7:$S$9</c:f>
              <c:numCache>
                <c:formatCode>0%</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t>Sussidi</a:t>
            </a:r>
          </a:p>
        </c:rich>
      </c:tx>
      <c:overlay val="0"/>
      <c:spPr>
        <a:noFill/>
        <a:ln w="25400">
          <a:noFill/>
        </a:ln>
      </c:spPr>
    </c:title>
    <c:autoTitleDeleted val="0"/>
    <c:plotArea>
      <c:layout>
        <c:manualLayout>
          <c:layoutTarget val="inner"/>
          <c:xMode val="edge"/>
          <c:yMode val="edge"/>
          <c:x val="0.13186813186813187"/>
          <c:y val="0.25435540069686413"/>
          <c:w val="0.38461538461538464"/>
          <c:h val="0.6097560975609756"/>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Pt>
            <c:idx val="4"/>
            <c:bubble3D val="0"/>
            <c:spPr>
              <a:solidFill>
                <a:srgbClr val="4472C4"/>
              </a:solidFill>
              <a:ln w="12700">
                <a:solidFill>
                  <a:srgbClr val="FFFFFF"/>
                </a:solidFill>
                <a:prstDash val="solid"/>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Incentivi!$B$19:$B$23</c:f>
              <c:strCache>
                <c:ptCount val="5"/>
                <c:pt idx="0">
                  <c:v>Incentivi per investimento centrale</c:v>
                </c:pt>
                <c:pt idx="1">
                  <c:v>Incentivi per investimento elettrofiltro</c:v>
                </c:pt>
                <c:pt idx="2">
                  <c:v>Incentivi per investimento rete</c:v>
                </c:pt>
                <c:pt idx="3">
                  <c:v>Incentivi per allacciamento utenti</c:v>
                </c:pt>
                <c:pt idx="4">
                  <c:v>Altro</c:v>
                </c:pt>
              </c:strCache>
            </c:strRef>
          </c:cat>
          <c:val>
            <c:numRef>
              <c:f>Incentivi!$C$19:$C$23</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
          <c:y val="0.20209059233449478"/>
          <c:w val="0.36703296703296701"/>
          <c:h val="0.7108013937282230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latin typeface="+mj-lt"/>
              </a:rPr>
              <a:t>Ripartizione</a:t>
            </a:r>
            <a:r>
              <a:rPr lang="it-CH" sz="1200" b="1" baseline="0">
                <a:latin typeface="+mj-lt"/>
              </a:rPr>
              <a:t> costi annuali produzione</a:t>
            </a:r>
            <a:endParaRPr lang="it-CH" sz="1200" b="1">
              <a:latin typeface="+mj-lt"/>
            </a:endParaRPr>
          </a:p>
        </c:rich>
      </c:tx>
      <c:layout>
        <c:manualLayout>
          <c:xMode val="edge"/>
          <c:yMode val="edge"/>
          <c:x val="0.34946804683122479"/>
          <c:y val="2.2084153543307086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20563640536453034"/>
          <c:y val="0.23815168861976807"/>
          <c:w val="0.58753258675580067"/>
          <c:h val="0.643009559273374"/>
        </c:manualLayout>
      </c:layout>
      <c:pie3DChart>
        <c:varyColors val="1"/>
        <c:ser>
          <c:idx val="0"/>
          <c:order val="0"/>
          <c:dPt>
            <c:idx val="0"/>
            <c:bubble3D val="0"/>
            <c:spPr>
              <a:solidFill>
                <a:srgbClr val="5B9BD5"/>
              </a:solidFill>
              <a:ln w="25400">
                <a:solidFill>
                  <a:srgbClr val="FFFFFF"/>
                </a:solidFill>
                <a:prstDash val="solid"/>
              </a:ln>
            </c:spPr>
          </c:dPt>
          <c:dPt>
            <c:idx val="1"/>
            <c:bubble3D val="0"/>
            <c:spPr>
              <a:solidFill>
                <a:srgbClr val="ED7D31"/>
              </a:solidFill>
              <a:ln w="25400">
                <a:solidFill>
                  <a:srgbClr val="FFFFFF"/>
                </a:solidFill>
                <a:prstDash val="solid"/>
              </a:ln>
            </c:spPr>
          </c:dPt>
          <c:dPt>
            <c:idx val="2"/>
            <c:bubble3D val="0"/>
            <c:spPr>
              <a:solidFill>
                <a:srgbClr val="A5A5A5"/>
              </a:solidFill>
              <a:ln w="25400">
                <a:solidFill>
                  <a:srgbClr val="FFFFFF"/>
                </a:solidFill>
                <a:prstDash val="solid"/>
              </a:ln>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Costi!$G$5:$G$8</c:f>
              <c:strCache>
                <c:ptCount val="4"/>
                <c:pt idx="0">
                  <c:v>VETTORE ENERGETICO</c:v>
                </c:pt>
                <c:pt idx="1">
                  <c:v>COSTI CENTRALE</c:v>
                </c:pt>
                <c:pt idx="2">
                  <c:v>COSTI DISTRIBUZIONE</c:v>
                </c:pt>
                <c:pt idx="3">
                  <c:v>ALTRI COSTI</c:v>
                </c:pt>
              </c:strCache>
            </c:strRef>
          </c:cat>
          <c:val>
            <c:numRef>
              <c:f>Costi!$H$5:$H$8</c:f>
              <c:numCache>
                <c:formatCode>0%</c:formatCode>
                <c:ptCount val="4"/>
                <c:pt idx="0">
                  <c:v>0</c:v>
                </c:pt>
                <c:pt idx="1">
                  <c:v>0</c:v>
                </c:pt>
                <c:pt idx="2">
                  <c:v>0</c:v>
                </c:pt>
                <c:pt idx="3">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a:t>Costi</a:t>
            </a:r>
            <a:r>
              <a:rPr lang="it-CH" baseline="0"/>
              <a:t> produzione calore</a:t>
            </a:r>
            <a:endParaRPr lang="it-CH"/>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Costi!$G$20:$G$25</c:f>
              <c:strCache>
                <c:ptCount val="6"/>
                <c:pt idx="0">
                  <c:v>PRODUZIONE CALORE </c:v>
                </c:pt>
                <c:pt idx="1">
                  <c:v>Ammortamenti </c:v>
                </c:pt>
                <c:pt idx="2">
                  <c:v>Costo del capitale</c:v>
                </c:pt>
                <c:pt idx="3">
                  <c:v>Costo del personale</c:v>
                </c:pt>
                <c:pt idx="4">
                  <c:v>Manutenzione </c:v>
                </c:pt>
                <c:pt idx="5">
                  <c:v>Prestazioni di terzi</c:v>
                </c:pt>
              </c:strCache>
            </c:strRef>
          </c:cat>
          <c:val>
            <c:numRef>
              <c:f>Costi!$H$20:$H$25</c:f>
              <c:numCache>
                <c:formatCode>0%</c:formatCode>
                <c:ptCount val="6"/>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a:t>Costi</a:t>
            </a:r>
            <a:r>
              <a:rPr lang="it-CH" baseline="0"/>
              <a:t> distribuzione calore</a:t>
            </a:r>
            <a:endParaRPr lang="it-CH"/>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Costi!$G$38:$G$42</c:f>
              <c:strCache>
                <c:ptCount val="5"/>
                <c:pt idx="0">
                  <c:v>Ammortamenti </c:v>
                </c:pt>
                <c:pt idx="1">
                  <c:v>Costo del capitale</c:v>
                </c:pt>
                <c:pt idx="2">
                  <c:v>Costo del personale</c:v>
                </c:pt>
                <c:pt idx="3">
                  <c:v>Manutenzione </c:v>
                </c:pt>
                <c:pt idx="4">
                  <c:v>Prestazioni di terzi</c:v>
                </c:pt>
              </c:strCache>
            </c:strRef>
          </c:cat>
          <c:val>
            <c:numRef>
              <c:f>Costi!$H$38:$H$42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800" b="1" i="0" baseline="0">
                <a:effectLst/>
              </a:rPr>
              <a:t>Ripartizione ricavi annuali</a:t>
            </a:r>
            <a:endParaRPr lang="it-CH" sz="1200">
              <a:effectLst/>
            </a:endParaRPr>
          </a:p>
        </c:rich>
      </c:tx>
      <c:overlay val="0"/>
      <c:spPr>
        <a:noFill/>
        <a:ln w="25400">
          <a:noFill/>
        </a:ln>
      </c:spPr>
    </c:title>
    <c:autoTitleDeleted val="0"/>
    <c:plotArea>
      <c:layout>
        <c:manualLayout>
          <c:layoutTarget val="inner"/>
          <c:xMode val="edge"/>
          <c:yMode val="edge"/>
          <c:x val="7.4109913892342449E-2"/>
          <c:y val="0.22466013612266492"/>
          <c:w val="0.48192084542063851"/>
          <c:h val="0.67696846974902525"/>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Lbls>
            <c:dLbl>
              <c:idx val="0"/>
              <c:layout>
                <c:manualLayout>
                  <c:x val="7.994520421789382E-2"/>
                  <c:y val="-4.1913555152146731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'Prezzi e Ricavi'!$B$26:$B$29</c:f>
              <c:strCache>
                <c:ptCount val="4"/>
                <c:pt idx="0">
                  <c:v>Vendita energia</c:v>
                </c:pt>
                <c:pt idx="1">
                  <c:v>Ricavo abbonamenti</c:v>
                </c:pt>
                <c:pt idx="2">
                  <c:v>Tassa allacciamento</c:v>
                </c:pt>
                <c:pt idx="3">
                  <c:v>Altro</c:v>
                </c:pt>
              </c:strCache>
            </c:strRef>
          </c:cat>
          <c:val>
            <c:numRef>
              <c:f>'Prezzi e Ricavi'!$C$26:$C$29</c:f>
              <c:numCache>
                <c:formatCode>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825327510917026"/>
          <c:y val="0.21779141104294478"/>
          <c:w val="0.37336244541484714"/>
          <c:h val="0.51533742331288346"/>
        </c:manualLayout>
      </c:layout>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CH"/>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12</xdr:col>
      <xdr:colOff>209550</xdr:colOff>
      <xdr:row>18</xdr:row>
      <xdr:rowOff>123825</xdr:rowOff>
    </xdr:from>
    <xdr:to>
      <xdr:col>13</xdr:col>
      <xdr:colOff>523875</xdr:colOff>
      <xdr:row>18</xdr:row>
      <xdr:rowOff>123825</xdr:rowOff>
    </xdr:to>
    <xdr:sp macro="" textlink="">
      <xdr:nvSpPr>
        <xdr:cNvPr id="31753" name="Line 27"/>
        <xdr:cNvSpPr>
          <a:spLocks noChangeShapeType="1"/>
        </xdr:cNvSpPr>
      </xdr:nvSpPr>
      <xdr:spPr bwMode="auto">
        <a:xfrm flipV="1">
          <a:off x="12001500" y="3143250"/>
          <a:ext cx="923925" cy="0"/>
        </a:xfrm>
        <a:prstGeom prst="line">
          <a:avLst/>
        </a:prstGeom>
        <a:noFill/>
        <a:ln w="2540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209550</xdr:colOff>
      <xdr:row>43</xdr:row>
      <xdr:rowOff>123825</xdr:rowOff>
    </xdr:from>
    <xdr:to>
      <xdr:col>26</xdr:col>
      <xdr:colOff>514350</xdr:colOff>
      <xdr:row>59</xdr:row>
      <xdr:rowOff>114300</xdr:rowOff>
    </xdr:to>
    <xdr:graphicFrame macro="">
      <xdr:nvGraphicFramePr>
        <xdr:cNvPr id="615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180975</xdr:colOff>
      <xdr:row>2</xdr:row>
      <xdr:rowOff>177800</xdr:rowOff>
    </xdr:from>
    <xdr:to>
      <xdr:col>38</xdr:col>
      <xdr:colOff>485775</xdr:colOff>
      <xdr:row>18</xdr:row>
      <xdr:rowOff>149225</xdr:rowOff>
    </xdr:to>
    <xdr:graphicFrame macro="">
      <xdr:nvGraphicFramePr>
        <xdr:cNvPr id="6156"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190500</xdr:colOff>
      <xdr:row>18</xdr:row>
      <xdr:rowOff>85725</xdr:rowOff>
    </xdr:from>
    <xdr:to>
      <xdr:col>26</xdr:col>
      <xdr:colOff>495300</xdr:colOff>
      <xdr:row>41</xdr:row>
      <xdr:rowOff>25400</xdr:rowOff>
    </xdr:to>
    <xdr:graphicFrame macro="">
      <xdr:nvGraphicFramePr>
        <xdr:cNvPr id="6157"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171450</xdr:colOff>
      <xdr:row>3</xdr:row>
      <xdr:rowOff>0</xdr:rowOff>
    </xdr:from>
    <xdr:to>
      <xdr:col>26</xdr:col>
      <xdr:colOff>476250</xdr:colOff>
      <xdr:row>17</xdr:row>
      <xdr:rowOff>38100</xdr:rowOff>
    </xdr:to>
    <xdr:graphicFrame macro="">
      <xdr:nvGraphicFramePr>
        <xdr:cNvPr id="6159"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26</xdr:row>
      <xdr:rowOff>95250</xdr:rowOff>
    </xdr:from>
    <xdr:to>
      <xdr:col>3</xdr:col>
      <xdr:colOff>657225</xdr:colOff>
      <xdr:row>43</xdr:row>
      <xdr:rowOff>76200</xdr:rowOff>
    </xdr:to>
    <xdr:graphicFrame macro="">
      <xdr:nvGraphicFramePr>
        <xdr:cNvPr id="19458"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325531</xdr:colOff>
      <xdr:row>0</xdr:row>
      <xdr:rowOff>56028</xdr:rowOff>
    </xdr:from>
    <xdr:to>
      <xdr:col>15</xdr:col>
      <xdr:colOff>296956</xdr:colOff>
      <xdr:row>14</xdr:row>
      <xdr:rowOff>115980</xdr:rowOff>
    </xdr:to>
    <xdr:graphicFrame macro="">
      <xdr:nvGraphicFramePr>
        <xdr:cNvPr id="717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428625</xdr:colOff>
      <xdr:row>16</xdr:row>
      <xdr:rowOff>71437</xdr:rowOff>
    </xdr:from>
    <xdr:to>
      <xdr:col>16</xdr:col>
      <xdr:colOff>123825</xdr:colOff>
      <xdr:row>31</xdr:row>
      <xdr:rowOff>166687</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419100</xdr:colOff>
      <xdr:row>34</xdr:row>
      <xdr:rowOff>38100</xdr:rowOff>
    </xdr:from>
    <xdr:to>
      <xdr:col>16</xdr:col>
      <xdr:colOff>114300</xdr:colOff>
      <xdr:row>49</xdr:row>
      <xdr:rowOff>142875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895350</xdr:colOff>
      <xdr:row>23</xdr:row>
      <xdr:rowOff>0</xdr:rowOff>
    </xdr:from>
    <xdr:to>
      <xdr:col>10</xdr:col>
      <xdr:colOff>552450</xdr:colOff>
      <xdr:row>39</xdr:row>
      <xdr:rowOff>57150</xdr:rowOff>
    </xdr:to>
    <xdr:graphicFrame macro="">
      <xdr:nvGraphicFramePr>
        <xdr:cNvPr id="4403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100</xdr:row>
      <xdr:rowOff>9525</xdr:rowOff>
    </xdr:from>
    <xdr:to>
      <xdr:col>11</xdr:col>
      <xdr:colOff>609600</xdr:colOff>
      <xdr:row>117</xdr:row>
      <xdr:rowOff>0</xdr:rowOff>
    </xdr:to>
    <xdr:graphicFrame macro="">
      <xdr:nvGraphicFramePr>
        <xdr:cNvPr id="4710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704850</xdr:colOff>
      <xdr:row>100</xdr:row>
      <xdr:rowOff>0</xdr:rowOff>
    </xdr:from>
    <xdr:to>
      <xdr:col>19</xdr:col>
      <xdr:colOff>514350</xdr:colOff>
      <xdr:row>116</xdr:row>
      <xdr:rowOff>152400</xdr:rowOff>
    </xdr:to>
    <xdr:graphicFrame macro="">
      <xdr:nvGraphicFramePr>
        <xdr:cNvPr id="47106"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82</xdr:row>
      <xdr:rowOff>9525</xdr:rowOff>
    </xdr:from>
    <xdr:to>
      <xdr:col>11</xdr:col>
      <xdr:colOff>600075</xdr:colOff>
      <xdr:row>99</xdr:row>
      <xdr:rowOff>0</xdr:rowOff>
    </xdr:to>
    <xdr:graphicFrame macro="">
      <xdr:nvGraphicFramePr>
        <xdr:cNvPr id="47107"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82</xdr:row>
      <xdr:rowOff>0</xdr:rowOff>
    </xdr:from>
    <xdr:to>
      <xdr:col>19</xdr:col>
      <xdr:colOff>523875</xdr:colOff>
      <xdr:row>98</xdr:row>
      <xdr:rowOff>152400</xdr:rowOff>
    </xdr:to>
    <xdr:graphicFrame macro="">
      <xdr:nvGraphicFramePr>
        <xdr:cNvPr id="471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313765</xdr:colOff>
      <xdr:row>1</xdr:row>
      <xdr:rowOff>56030</xdr:rowOff>
    </xdr:from>
    <xdr:to>
      <xdr:col>21</xdr:col>
      <xdr:colOff>424143</xdr:colOff>
      <xdr:row>15</xdr:row>
      <xdr:rowOff>96931</xdr:rowOff>
    </xdr:to>
    <xdr:graphicFrame macro="">
      <xdr:nvGraphicFramePr>
        <xdr:cNvPr id="2"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313765</xdr:colOff>
      <xdr:row>17</xdr:row>
      <xdr:rowOff>67235</xdr:rowOff>
    </xdr:from>
    <xdr:to>
      <xdr:col>21</xdr:col>
      <xdr:colOff>412937</xdr:colOff>
      <xdr:row>34</xdr:row>
      <xdr:rowOff>112619</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864533</xdr:colOff>
      <xdr:row>65</xdr:row>
      <xdr:rowOff>146798</xdr:rowOff>
    </xdr:from>
    <xdr:to>
      <xdr:col>6</xdr:col>
      <xdr:colOff>57710</xdr:colOff>
      <xdr:row>80</xdr:row>
      <xdr:rowOff>29696</xdr:rowOff>
    </xdr:to>
    <xdr:graphicFrame macro="">
      <xdr:nvGraphicFramePr>
        <xdr:cNvPr id="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390525</xdr:colOff>
      <xdr:row>46</xdr:row>
      <xdr:rowOff>104774</xdr:rowOff>
    </xdr:from>
    <xdr:to>
      <xdr:col>9</xdr:col>
      <xdr:colOff>835398</xdr:colOff>
      <xdr:row>60</xdr:row>
      <xdr:rowOff>67795</xdr:rowOff>
    </xdr:to>
    <xdr:graphicFrame macro="">
      <xdr:nvGraphicFramePr>
        <xdr:cNvPr id="6"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10" sqref="A10"/>
    </sheetView>
  </sheetViews>
  <sheetFormatPr defaultRowHeight="15" x14ac:dyDescent="0.25"/>
  <sheetData>
    <row r="1" spans="1:1" x14ac:dyDescent="0.25">
      <c r="A1" s="1" t="s">
        <v>165</v>
      </c>
    </row>
    <row r="2" spans="1:1" x14ac:dyDescent="0.25">
      <c r="A2" t="s">
        <v>352</v>
      </c>
    </row>
    <row r="3" spans="1:1" x14ac:dyDescent="0.25">
      <c r="A3" t="s">
        <v>351</v>
      </c>
    </row>
    <row r="4" spans="1:1" x14ac:dyDescent="0.25">
      <c r="A4" t="s">
        <v>350</v>
      </c>
    </row>
    <row r="5" spans="1:1" x14ac:dyDescent="0.25">
      <c r="A5" t="s">
        <v>353</v>
      </c>
    </row>
    <row r="9" spans="1:1" x14ac:dyDescent="0.25">
      <c r="A9" t="s">
        <v>590</v>
      </c>
    </row>
  </sheetData>
  <sheetProtection password="C632"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zoomScale="85" zoomScaleNormal="85" workbookViewId="0">
      <selection activeCell="C13" sqref="C13"/>
    </sheetView>
  </sheetViews>
  <sheetFormatPr defaultRowHeight="12.75" x14ac:dyDescent="0.2"/>
  <cols>
    <col min="1" max="1" width="6.140625" style="9" customWidth="1"/>
    <col min="2" max="2" width="29.140625" style="9" bestFit="1" customWidth="1"/>
    <col min="3" max="3" width="27.5703125" style="9" bestFit="1" customWidth="1"/>
    <col min="4" max="4" width="15.28515625" style="9" bestFit="1" customWidth="1"/>
    <col min="5" max="5" width="53.5703125" style="9" bestFit="1" customWidth="1"/>
    <col min="6" max="6" width="12.28515625" style="8" bestFit="1" customWidth="1"/>
    <col min="7" max="7" width="12.28515625" style="74" bestFit="1" customWidth="1"/>
    <col min="8" max="8" width="12.42578125" style="51" bestFit="1" customWidth="1"/>
    <col min="9" max="9" width="11.5703125" style="31" bestFit="1" customWidth="1"/>
    <col min="10" max="10" width="11.42578125" style="31" bestFit="1" customWidth="1"/>
    <col min="11" max="11" width="9.140625" style="31"/>
    <col min="12" max="16384" width="9.140625" style="9"/>
  </cols>
  <sheetData>
    <row r="1" spans="1:8" ht="16.5" thickBot="1" x14ac:dyDescent="0.3">
      <c r="A1" s="119"/>
      <c r="B1" s="119" t="s">
        <v>118</v>
      </c>
      <c r="C1" s="119"/>
      <c r="D1" s="118"/>
    </row>
    <row r="2" spans="1:8" ht="13.5" thickBot="1" x14ac:dyDescent="0.25"/>
    <row r="3" spans="1:8" ht="13.5" thickBot="1" x14ac:dyDescent="0.25">
      <c r="B3" s="31"/>
      <c r="C3" s="37" t="s">
        <v>2</v>
      </c>
      <c r="D3" s="31"/>
      <c r="E3" s="31"/>
      <c r="F3" s="38"/>
    </row>
    <row r="4" spans="1:8" x14ac:dyDescent="0.2">
      <c r="B4" s="39" t="s">
        <v>323</v>
      </c>
      <c r="C4" s="40" t="e">
        <f>Costi!H6+Costi!H7</f>
        <v>#DIV/0!</v>
      </c>
      <c r="D4" s="31"/>
      <c r="E4" s="31"/>
      <c r="F4" s="32"/>
    </row>
    <row r="5" spans="1:8" x14ac:dyDescent="0.2">
      <c r="B5" s="41" t="s">
        <v>90</v>
      </c>
      <c r="C5" s="42" t="e">
        <f>Costi!H5</f>
        <v>#DIV/0!</v>
      </c>
      <c r="D5" s="31"/>
      <c r="E5" s="31"/>
      <c r="F5" s="32"/>
    </row>
    <row r="6" spans="1:8" ht="13.5" thickBot="1" x14ac:dyDescent="0.25">
      <c r="B6" s="33" t="s">
        <v>324</v>
      </c>
      <c r="C6" s="43" t="e">
        <f>Costi!H8</f>
        <v>#DIV/0!</v>
      </c>
      <c r="D6" s="31"/>
      <c r="E6" s="31"/>
      <c r="F6" s="32"/>
    </row>
    <row r="7" spans="1:8" ht="13.5" thickBot="1" x14ac:dyDescent="0.25"/>
    <row r="8" spans="1:8" ht="15.75" thickBot="1" x14ac:dyDescent="0.3">
      <c r="A8" s="116" t="s">
        <v>325</v>
      </c>
      <c r="B8" s="104" t="s">
        <v>44</v>
      </c>
      <c r="C8" s="23"/>
      <c r="D8" s="23"/>
      <c r="E8" s="27"/>
      <c r="F8" s="45"/>
      <c r="G8" s="75"/>
      <c r="H8" s="9"/>
    </row>
    <row r="9" spans="1:8" ht="13.5" thickBot="1" x14ac:dyDescent="0.25">
      <c r="B9" s="105"/>
      <c r="C9" s="98"/>
      <c r="D9" s="36"/>
      <c r="E9" s="18"/>
      <c r="F9" s="53"/>
      <c r="G9" s="76"/>
      <c r="H9" s="9"/>
    </row>
    <row r="10" spans="1:8" x14ac:dyDescent="0.2">
      <c r="B10" s="106"/>
      <c r="C10" s="99" t="s">
        <v>154</v>
      </c>
      <c r="D10" s="44"/>
      <c r="E10" s="45"/>
      <c r="F10" s="272"/>
      <c r="G10" s="75"/>
      <c r="H10" s="9"/>
    </row>
    <row r="11" spans="1:8" x14ac:dyDescent="0.2">
      <c r="B11" s="106"/>
      <c r="C11" s="100"/>
      <c r="D11" s="10" t="s">
        <v>155</v>
      </c>
      <c r="E11" s="79" t="s">
        <v>524</v>
      </c>
      <c r="F11" s="82" t="s">
        <v>63</v>
      </c>
      <c r="G11" s="269" t="e">
        <f>Costi!D37</f>
        <v>#DIV/0!</v>
      </c>
      <c r="H11" s="9"/>
    </row>
    <row r="12" spans="1:8" x14ac:dyDescent="0.2">
      <c r="B12" s="106"/>
      <c r="C12" s="100"/>
      <c r="D12" s="10"/>
      <c r="E12" s="79" t="s">
        <v>157</v>
      </c>
      <c r="F12" s="82" t="s">
        <v>63</v>
      </c>
      <c r="G12" s="269" t="e">
        <f>Costi!D41</f>
        <v>#DIV/0!</v>
      </c>
      <c r="H12" s="9"/>
    </row>
    <row r="13" spans="1:8" x14ac:dyDescent="0.2">
      <c r="B13" s="106"/>
      <c r="C13" s="101"/>
      <c r="D13" s="73"/>
      <c r="E13" s="80" t="s">
        <v>153</v>
      </c>
      <c r="F13" s="82" t="s">
        <v>9</v>
      </c>
      <c r="G13" s="270" t="e">
        <f>(Costi!D6+(Costi!D20*Costi!D6/(Costi!D6+Costi!D13)))/' Dati tecnici e stima domanda'!D43</f>
        <v>#DIV/0!</v>
      </c>
      <c r="H13" s="9"/>
    </row>
    <row r="14" spans="1:8" x14ac:dyDescent="0.2">
      <c r="B14" s="106"/>
      <c r="C14" s="101"/>
      <c r="D14" s="73"/>
      <c r="E14" s="80" t="s">
        <v>120</v>
      </c>
      <c r="F14" s="82" t="s">
        <v>9</v>
      </c>
      <c r="G14" s="270" t="e">
        <f>Investimenti!G13/' Dati tecnici e stima domanda'!D43</f>
        <v>#DIV/0!</v>
      </c>
      <c r="H14" s="9"/>
    </row>
    <row r="15" spans="1:8" x14ac:dyDescent="0.2">
      <c r="B15" s="106"/>
      <c r="C15" s="101"/>
      <c r="D15" s="73"/>
      <c r="E15" s="80" t="s">
        <v>161</v>
      </c>
      <c r="F15" s="82" t="s">
        <v>9</v>
      </c>
      <c r="G15" s="270" t="e">
        <f>Investimenti!G9/' Dati tecnici e stima domanda'!D43</f>
        <v>#DIV/0!</v>
      </c>
      <c r="H15" s="9"/>
    </row>
    <row r="16" spans="1:8" x14ac:dyDescent="0.2">
      <c r="B16" s="106"/>
      <c r="C16" s="101"/>
      <c r="D16" s="73" t="s">
        <v>156</v>
      </c>
      <c r="E16" s="80"/>
      <c r="F16" s="83"/>
      <c r="G16" s="174"/>
      <c r="H16" s="9"/>
    </row>
    <row r="17" spans="2:8" x14ac:dyDescent="0.2">
      <c r="B17" s="106"/>
      <c r="C17" s="101"/>
      <c r="D17" s="73"/>
      <c r="E17" s="80" t="s">
        <v>158</v>
      </c>
      <c r="F17" s="82" t="s">
        <v>63</v>
      </c>
      <c r="G17" s="264" t="str">
        <f>IF(' Dati tecnici e stima domanda'!D70=0,"-",(Costi!D13+(Costi!D20*Costi!D13/(Costi!D6+Costi!D13)))/' Dati tecnici e stima domanda'!D70*100)</f>
        <v>-</v>
      </c>
      <c r="H17" s="9"/>
    </row>
    <row r="18" spans="2:8" x14ac:dyDescent="0.2">
      <c r="B18" s="106"/>
      <c r="C18" s="101"/>
      <c r="D18" s="73"/>
      <c r="E18" s="80" t="s">
        <v>159</v>
      </c>
      <c r="F18" s="82" t="s">
        <v>9</v>
      </c>
      <c r="G18" s="175" t="str">
        <f>IF(' Dati tecnici e stima domanda'!D68=0,"-",(Costi!D13+(Costi!D20*Costi!D13/(Costi!D6+Costi!D13)))/' Dati tecnici e stima domanda'!D68)</f>
        <v>-</v>
      </c>
      <c r="H18" s="9"/>
    </row>
    <row r="19" spans="2:8" x14ac:dyDescent="0.2">
      <c r="B19" s="106"/>
      <c r="C19" s="101"/>
      <c r="D19" s="73" t="s">
        <v>75</v>
      </c>
      <c r="E19" s="80"/>
      <c r="F19" s="83"/>
      <c r="G19" s="174"/>
      <c r="H19" s="9"/>
    </row>
    <row r="20" spans="2:8" x14ac:dyDescent="0.2">
      <c r="B20" s="106"/>
      <c r="C20" s="101"/>
      <c r="D20" s="73"/>
      <c r="E20" s="81" t="s">
        <v>557</v>
      </c>
      <c r="F20" s="82" t="s">
        <v>100</v>
      </c>
      <c r="G20" s="270" t="e">
        <f>(Investimenti!D24+Investimenti!D42)/' Dati tecnici e stima domanda'!D13</f>
        <v>#DIV/0!</v>
      </c>
      <c r="H20" s="9"/>
    </row>
    <row r="21" spans="2:8" x14ac:dyDescent="0.2">
      <c r="B21" s="106"/>
      <c r="C21" s="101"/>
      <c r="D21" s="73"/>
      <c r="E21" s="52" t="s">
        <v>556</v>
      </c>
      <c r="F21" s="82" t="s">
        <v>100</v>
      </c>
      <c r="G21" s="270" t="e">
        <f>(Investimenti!D27+Investimenti!D29+Investimenti!D28+Investimenti!D30)/' Dati tecnici e stima domanda'!D13</f>
        <v>#DIV/0!</v>
      </c>
      <c r="H21" s="9"/>
    </row>
    <row r="22" spans="2:8" x14ac:dyDescent="0.2">
      <c r="B22" s="106"/>
      <c r="C22" s="101"/>
      <c r="D22" s="73"/>
      <c r="E22" s="80" t="s">
        <v>162</v>
      </c>
      <c r="F22" s="82" t="s">
        <v>100</v>
      </c>
      <c r="G22" s="270" t="e">
        <f>(Investimenti!D31+Investimenti!D32+Investimenti!D33+Investimenti!D34)/' Dati tecnici e stima domanda'!D13</f>
        <v>#DIV/0!</v>
      </c>
      <c r="H22" s="9"/>
    </row>
    <row r="23" spans="2:8" ht="13.5" thickBot="1" x14ac:dyDescent="0.25">
      <c r="B23" s="106"/>
      <c r="C23" s="101"/>
      <c r="D23" s="73"/>
      <c r="E23" s="80" t="s">
        <v>160</v>
      </c>
      <c r="F23" s="84" t="s">
        <v>110</v>
      </c>
      <c r="G23" s="271" t="e">
        <f>(Investimenti!D31+Investimenti!D32+Investimenti!D33+Investimenti!D34)/' Dati tecnici e stima domanda'!D16</f>
        <v>#DIV/0!</v>
      </c>
      <c r="H23" s="9"/>
    </row>
    <row r="24" spans="2:8" x14ac:dyDescent="0.2">
      <c r="B24" s="106"/>
      <c r="C24" s="99" t="s">
        <v>59</v>
      </c>
      <c r="D24" s="44"/>
      <c r="E24" s="27"/>
      <c r="F24" s="56"/>
      <c r="G24" s="176"/>
      <c r="H24" s="9"/>
    </row>
    <row r="25" spans="2:8" x14ac:dyDescent="0.2">
      <c r="B25" s="106"/>
      <c r="C25" s="100"/>
      <c r="D25" s="10"/>
      <c r="E25" s="158" t="s">
        <v>429</v>
      </c>
      <c r="F25" s="48" t="s">
        <v>63</v>
      </c>
      <c r="G25" s="269" t="e">
        <f>(Investimenti!F8+Investimenti!G8+Investimenti!H8)/' Dati tecnici e stima domanda'!D29*100</f>
        <v>#DIV/0!</v>
      </c>
      <c r="H25" s="9"/>
    </row>
    <row r="26" spans="2:8" x14ac:dyDescent="0.2">
      <c r="B26" s="106"/>
      <c r="C26" s="100"/>
      <c r="D26" s="10"/>
      <c r="E26" s="158" t="s">
        <v>430</v>
      </c>
      <c r="F26" s="48" t="s">
        <v>63</v>
      </c>
      <c r="G26" s="269" t="e">
        <f>(Investimenti!F24+Investimenti!G24+Investimenti!H24)/' Dati tecnici e stima domanda'!D13/100</f>
        <v>#DIV/0!</v>
      </c>
      <c r="H26" s="9"/>
    </row>
    <row r="27" spans="2:8" x14ac:dyDescent="0.2">
      <c r="B27" s="106"/>
      <c r="C27" s="100"/>
      <c r="D27" s="10"/>
      <c r="E27" s="158" t="s">
        <v>431</v>
      </c>
      <c r="F27" s="48" t="s">
        <v>2</v>
      </c>
      <c r="G27" s="177" t="e">
        <f>(Investimenti!F38+Investimenti!G38+Investimenti!H38)/Costi!D35</f>
        <v>#DIV/0!</v>
      </c>
      <c r="H27" s="9"/>
    </row>
    <row r="28" spans="2:8" x14ac:dyDescent="0.2">
      <c r="B28" s="106"/>
      <c r="C28" s="101"/>
      <c r="D28" s="73"/>
      <c r="E28" s="159" t="s">
        <v>432</v>
      </c>
      <c r="F28" s="78" t="s">
        <v>2</v>
      </c>
      <c r="G28" s="178" t="e">
        <f>(Investimenti!F9+Investimenti!G9+Investimenti!H9+Investimenti!F18+Investimenti!G18+Investimenti!H18+Investimenti!F25+Investimenti!G25+Investimenti!H25)/(Investimenti!F38+Investimenti!G38+Investimenti!H38)</f>
        <v>#DIV/0!</v>
      </c>
      <c r="H28" s="9"/>
    </row>
    <row r="29" spans="2:8" ht="13.5" thickBot="1" x14ac:dyDescent="0.25">
      <c r="B29" s="106"/>
      <c r="C29" s="101"/>
      <c r="D29" s="73"/>
      <c r="E29" s="77"/>
      <c r="F29" s="78"/>
      <c r="G29" s="178"/>
      <c r="H29" s="9"/>
    </row>
    <row r="30" spans="2:8" x14ac:dyDescent="0.2">
      <c r="B30" s="106"/>
      <c r="C30" s="102" t="s">
        <v>60</v>
      </c>
      <c r="D30" s="44"/>
      <c r="E30" s="27"/>
      <c r="F30" s="56"/>
      <c r="G30" s="176"/>
      <c r="H30" s="9"/>
    </row>
    <row r="31" spans="2:8" x14ac:dyDescent="0.2">
      <c r="B31" s="106"/>
      <c r="C31" s="100"/>
      <c r="D31" s="10"/>
      <c r="E31" s="47" t="s">
        <v>61</v>
      </c>
      <c r="F31" s="48" t="s">
        <v>63</v>
      </c>
      <c r="G31" s="269" t="e">
        <f>'Vettori energetici'!L28/' Dati tecnici e stima domanda'!D29*100</f>
        <v>#DIV/0!</v>
      </c>
      <c r="H31" s="9"/>
    </row>
    <row r="32" spans="2:8" ht="13.5" thickBot="1" x14ac:dyDescent="0.25">
      <c r="B32" s="106"/>
      <c r="C32" s="98"/>
      <c r="D32" s="36"/>
      <c r="E32" s="54" t="s">
        <v>62</v>
      </c>
      <c r="F32" s="261" t="s">
        <v>2</v>
      </c>
      <c r="G32" s="179" t="e">
        <f>Costi!D33/Costi!D35</f>
        <v>#DIV/0!</v>
      </c>
      <c r="H32" s="9"/>
    </row>
    <row r="33" spans="1:11" x14ac:dyDescent="0.2">
      <c r="B33" s="106"/>
      <c r="C33" s="102" t="s">
        <v>163</v>
      </c>
      <c r="D33" s="44"/>
      <c r="E33" s="27"/>
      <c r="F33" s="56"/>
      <c r="G33" s="176"/>
      <c r="H33" s="9"/>
    </row>
    <row r="34" spans="1:11" x14ac:dyDescent="0.2">
      <c r="B34" s="106"/>
      <c r="C34" s="100"/>
      <c r="D34" s="10"/>
      <c r="E34" s="47" t="s">
        <v>92</v>
      </c>
      <c r="F34" s="48" t="s">
        <v>2</v>
      </c>
      <c r="G34" s="177" t="e">
        <f>Personale!F10/Costi!D35</f>
        <v>#DIV/0!</v>
      </c>
      <c r="H34" s="9"/>
    </row>
    <row r="35" spans="1:11" x14ac:dyDescent="0.2">
      <c r="B35" s="106"/>
      <c r="C35" s="100"/>
      <c r="D35" s="10"/>
      <c r="E35" s="47" t="s">
        <v>91</v>
      </c>
      <c r="F35" s="48" t="s">
        <v>2</v>
      </c>
      <c r="G35" s="177" t="e">
        <f>Investimenti!J38/Costi!D35</f>
        <v>#DIV/0!</v>
      </c>
      <c r="H35" s="9"/>
    </row>
    <row r="36" spans="1:11" ht="13.5" thickBot="1" x14ac:dyDescent="0.25">
      <c r="B36" s="106"/>
      <c r="C36" s="57"/>
      <c r="D36" s="57"/>
      <c r="E36" s="58"/>
      <c r="F36" s="273"/>
      <c r="G36" s="180"/>
      <c r="H36" s="17"/>
      <c r="I36" s="16"/>
    </row>
    <row r="37" spans="1:11" ht="13.5" thickBot="1" x14ac:dyDescent="0.25">
      <c r="B37" s="107"/>
      <c r="C37" s="103" t="s">
        <v>72</v>
      </c>
      <c r="D37" s="59"/>
      <c r="E37" s="60" t="s">
        <v>73</v>
      </c>
      <c r="F37" s="274" t="s">
        <v>2</v>
      </c>
      <c r="G37" s="181" t="e">
        <f>'Prezzi e Ricavi'!D20/Costi!D35</f>
        <v>#DIV/0!</v>
      </c>
      <c r="H37" s="17"/>
      <c r="I37" s="16"/>
    </row>
    <row r="38" spans="1:11" ht="13.5" thickBot="1" x14ac:dyDescent="0.25">
      <c r="E38" s="8"/>
      <c r="F38" s="51"/>
      <c r="H38" s="17"/>
      <c r="I38" s="16"/>
    </row>
    <row r="39" spans="1:11" x14ac:dyDescent="0.2">
      <c r="B39" s="109"/>
      <c r="C39" s="102" t="s">
        <v>145</v>
      </c>
      <c r="D39" s="23"/>
      <c r="E39" s="27"/>
      <c r="F39" s="165"/>
      <c r="G39" s="85"/>
      <c r="H39" s="17"/>
      <c r="I39" s="16"/>
    </row>
    <row r="40" spans="1:11" x14ac:dyDescent="0.2">
      <c r="B40" s="106"/>
      <c r="C40" s="100"/>
      <c r="D40" s="10"/>
      <c r="E40" s="47" t="s">
        <v>568</v>
      </c>
      <c r="F40" s="166" t="s">
        <v>164</v>
      </c>
      <c r="G40" s="265" t="e">
        <f>(Incentivi!C13+Incentivi!D13+Incentivi!E13)/' Dati tecnici e stima domanda'!D5</f>
        <v>#DIV/0!</v>
      </c>
      <c r="H40" s="17"/>
      <c r="I40" s="16"/>
    </row>
    <row r="41" spans="1:11" x14ac:dyDescent="0.2">
      <c r="B41" s="106"/>
      <c r="C41" s="100"/>
      <c r="D41" s="10"/>
      <c r="E41" s="47" t="s">
        <v>569</v>
      </c>
      <c r="F41" s="166" t="s">
        <v>63</v>
      </c>
      <c r="G41" s="114" t="e">
        <f>(Incentivi!H13)/' Dati tecnici e stima domanda'!D16*100</f>
        <v>#DIV/0!</v>
      </c>
      <c r="H41" s="17"/>
      <c r="I41" s="16"/>
    </row>
    <row r="42" spans="1:11" ht="13.5" thickBot="1" x14ac:dyDescent="0.25">
      <c r="B42" s="107"/>
      <c r="C42" s="108"/>
      <c r="D42" s="21"/>
      <c r="E42" s="49" t="s">
        <v>570</v>
      </c>
      <c r="F42" s="167" t="s">
        <v>164</v>
      </c>
      <c r="G42" s="266" t="e">
        <f>(Incentivi!C14+Incentivi!D14+Incentivi!E14)/' Dati tecnici e stima domanda'!D5</f>
        <v>#DIV/0!</v>
      </c>
      <c r="H42" s="50"/>
      <c r="I42" s="16"/>
    </row>
    <row r="43" spans="1:11" x14ac:dyDescent="0.2">
      <c r="B43" s="31"/>
      <c r="C43" s="31"/>
      <c r="D43" s="31"/>
      <c r="E43" s="110"/>
      <c r="F43" s="22"/>
      <c r="G43" s="111"/>
      <c r="H43" s="50"/>
      <c r="I43" s="16"/>
    </row>
    <row r="44" spans="1:11" ht="13.5" thickBot="1" x14ac:dyDescent="0.25">
      <c r="F44" s="51"/>
      <c r="H44" s="51" t="s">
        <v>196</v>
      </c>
    </row>
    <row r="45" spans="1:11" ht="15" x14ac:dyDescent="0.25">
      <c r="A45" s="116" t="s">
        <v>326</v>
      </c>
      <c r="B45" s="109"/>
      <c r="C45" s="99" t="s">
        <v>64</v>
      </c>
      <c r="D45" s="23"/>
      <c r="E45" s="55"/>
      <c r="F45" s="56"/>
      <c r="G45" s="93"/>
      <c r="H45" s="112"/>
      <c r="I45" s="9"/>
      <c r="J45" s="9"/>
      <c r="K45" s="9"/>
    </row>
    <row r="46" spans="1:11" x14ac:dyDescent="0.2">
      <c r="B46" s="106"/>
      <c r="C46" s="31"/>
      <c r="D46" s="10"/>
      <c r="E46" s="47" t="s">
        <v>525</v>
      </c>
      <c r="F46" s="48" t="s">
        <v>9</v>
      </c>
      <c r="G46" s="267" t="e">
        <f>Investimenti!D45/' Dati tecnici e stima domanda'!D43</f>
        <v>#DIV/0!</v>
      </c>
      <c r="H46" s="95" t="s">
        <v>558</v>
      </c>
      <c r="I46" s="9"/>
      <c r="J46" s="9"/>
      <c r="K46" s="9"/>
    </row>
    <row r="47" spans="1:11" x14ac:dyDescent="0.2">
      <c r="B47" s="106"/>
      <c r="C47" s="100"/>
      <c r="D47" s="10"/>
      <c r="E47" s="47" t="s">
        <v>198</v>
      </c>
      <c r="F47" s="48" t="s">
        <v>199</v>
      </c>
      <c r="G47" s="267" t="e">
        <f>Investimenti!D45/' Dati tecnici e stima domanda'!D16*1000</f>
        <v>#DIV/0!</v>
      </c>
      <c r="H47" s="95" t="s">
        <v>559</v>
      </c>
      <c r="I47" s="9"/>
      <c r="J47" s="9"/>
      <c r="K47" s="9"/>
    </row>
    <row r="48" spans="1:11" ht="13.5" thickBot="1" x14ac:dyDescent="0.25">
      <c r="B48" s="106"/>
      <c r="C48" s="100"/>
      <c r="D48" s="10"/>
      <c r="E48" s="47" t="s">
        <v>197</v>
      </c>
      <c r="F48" s="48" t="s">
        <v>184</v>
      </c>
      <c r="G48" s="267" t="e">
        <f>Investimenti!D45/' Dati tecnici e stima domanda'!D13</f>
        <v>#DIV/0!</v>
      </c>
      <c r="H48" s="95" t="s">
        <v>560</v>
      </c>
      <c r="I48" s="9"/>
      <c r="J48" s="9"/>
      <c r="K48" s="9"/>
    </row>
    <row r="49" spans="2:11" x14ac:dyDescent="0.2">
      <c r="B49" s="106"/>
      <c r="C49" s="99" t="s">
        <v>185</v>
      </c>
      <c r="D49" s="44"/>
      <c r="E49" s="27"/>
      <c r="F49" s="56"/>
      <c r="G49" s="46"/>
      <c r="H49" s="95"/>
      <c r="I49" s="9"/>
      <c r="J49" s="9"/>
      <c r="K49" s="9"/>
    </row>
    <row r="50" spans="2:11" x14ac:dyDescent="0.2">
      <c r="B50" s="106"/>
      <c r="C50" s="100"/>
      <c r="D50" s="10" t="s">
        <v>572</v>
      </c>
      <c r="E50" s="47" t="s">
        <v>187</v>
      </c>
      <c r="F50" s="48" t="s">
        <v>9</v>
      </c>
      <c r="G50" s="267" t="e">
        <f>(Investimenti!D31+Investimenti!D32+Investimenti!D33+Investimenti!D34)/' Dati tecnici e stima domanda'!D43</f>
        <v>#DIV/0!</v>
      </c>
      <c r="H50" s="95" t="s">
        <v>188</v>
      </c>
      <c r="J50" s="9"/>
      <c r="K50" s="9"/>
    </row>
    <row r="51" spans="2:11" x14ac:dyDescent="0.2">
      <c r="B51" s="106"/>
      <c r="C51" s="100"/>
      <c r="D51" s="10"/>
      <c r="E51" s="47" t="s">
        <v>526</v>
      </c>
      <c r="F51" s="48" t="s">
        <v>9</v>
      </c>
      <c r="G51" s="267" t="e">
        <f>(Investimenti!D31)/' Dati tecnici e stima domanda'!D43</f>
        <v>#DIV/0!</v>
      </c>
      <c r="H51" s="95" t="s">
        <v>189</v>
      </c>
      <c r="J51" s="9"/>
      <c r="K51" s="9"/>
    </row>
    <row r="52" spans="2:11" x14ac:dyDescent="0.2">
      <c r="B52" s="106"/>
      <c r="C52" s="100"/>
      <c r="D52" s="10"/>
      <c r="E52" s="32"/>
      <c r="F52" s="48"/>
      <c r="G52" s="94"/>
      <c r="H52" s="95"/>
      <c r="I52" s="9"/>
      <c r="J52" s="9"/>
      <c r="K52" s="9"/>
    </row>
    <row r="53" spans="2:11" x14ac:dyDescent="0.2">
      <c r="B53" s="106"/>
      <c r="C53" s="100"/>
      <c r="D53" s="10" t="s">
        <v>214</v>
      </c>
      <c r="E53" s="47" t="s">
        <v>190</v>
      </c>
      <c r="F53" s="48" t="s">
        <v>100</v>
      </c>
      <c r="G53" s="267" t="e">
        <f>SUM(Investimenti!D25:'Investimenti'!D28)/' Dati tecnici e stima domanda'!D13</f>
        <v>#DIV/0!</v>
      </c>
      <c r="H53" s="95"/>
      <c r="I53" s="9"/>
      <c r="J53" s="9"/>
      <c r="K53" s="9"/>
    </row>
    <row r="54" spans="2:11" x14ac:dyDescent="0.2">
      <c r="B54" s="106"/>
      <c r="C54" s="100"/>
      <c r="D54" s="10"/>
      <c r="E54" s="47" t="s">
        <v>327</v>
      </c>
      <c r="F54" s="48" t="s">
        <v>100</v>
      </c>
      <c r="G54" s="267" t="e">
        <f>SUM(Investimenti!D25:'Investimenti'!D30)/' Dati tecnici e stima domanda'!D13</f>
        <v>#DIV/0!</v>
      </c>
      <c r="H54" s="95" t="s">
        <v>561</v>
      </c>
      <c r="I54" s="9"/>
      <c r="J54" s="9"/>
      <c r="K54" s="9"/>
    </row>
    <row r="55" spans="2:11" x14ac:dyDescent="0.2">
      <c r="B55" s="106"/>
      <c r="C55" s="100"/>
      <c r="D55" s="10"/>
      <c r="E55" s="47" t="s">
        <v>191</v>
      </c>
      <c r="F55" s="48" t="s">
        <v>100</v>
      </c>
      <c r="G55" s="267" t="e">
        <f>(Investimenti!D27)/' Dati tecnici e stima domanda'!D13</f>
        <v>#DIV/0!</v>
      </c>
      <c r="H55" s="95"/>
      <c r="I55" s="9"/>
      <c r="J55" s="9"/>
      <c r="K55" s="9"/>
    </row>
    <row r="56" spans="2:11" x14ac:dyDescent="0.2">
      <c r="B56" s="106"/>
      <c r="C56" s="100"/>
      <c r="D56" s="10"/>
      <c r="E56" s="47" t="s">
        <v>328</v>
      </c>
      <c r="F56" s="48" t="s">
        <v>100</v>
      </c>
      <c r="G56" s="267" t="e">
        <f>(Investimenti!D27+Investimenti!D29)/' Dati tecnici e stima domanda'!D13</f>
        <v>#DIV/0!</v>
      </c>
      <c r="H56" s="95" t="s">
        <v>562</v>
      </c>
      <c r="I56" s="9"/>
      <c r="J56" s="9"/>
      <c r="K56" s="9"/>
    </row>
    <row r="57" spans="2:11" x14ac:dyDescent="0.2">
      <c r="B57" s="106"/>
      <c r="C57" s="100"/>
      <c r="D57" s="10"/>
      <c r="E57" s="47" t="s">
        <v>283</v>
      </c>
      <c r="F57" s="48" t="s">
        <v>199</v>
      </c>
      <c r="G57" s="267" t="e">
        <f>(Investimenti!D24+Investimenti!D42)/' Dati tecnici e stima domanda'!D16*1000</f>
        <v>#DIV/0!</v>
      </c>
      <c r="H57" s="95" t="s">
        <v>282</v>
      </c>
      <c r="I57" s="9"/>
      <c r="J57" s="9"/>
      <c r="K57" s="9"/>
    </row>
    <row r="58" spans="2:11" x14ac:dyDescent="0.2">
      <c r="B58" s="106"/>
      <c r="C58" s="100"/>
      <c r="D58" s="10"/>
      <c r="E58" s="47"/>
      <c r="F58" s="48"/>
      <c r="G58" s="96"/>
      <c r="H58" s="95"/>
      <c r="I58" s="9"/>
      <c r="J58" s="9"/>
      <c r="K58" s="9"/>
    </row>
    <row r="59" spans="2:11" x14ac:dyDescent="0.2">
      <c r="B59" s="106"/>
      <c r="C59" s="100"/>
      <c r="D59" s="10" t="s">
        <v>39</v>
      </c>
      <c r="E59" s="47" t="s">
        <v>571</v>
      </c>
      <c r="F59" s="48" t="s">
        <v>9</v>
      </c>
      <c r="G59" s="267" t="e">
        <f>Investimenti!D8/' Dati tecnici e stima domanda'!D43</f>
        <v>#DIV/0!</v>
      </c>
      <c r="H59" s="95" t="s">
        <v>563</v>
      </c>
      <c r="I59" s="9"/>
      <c r="J59" s="9"/>
      <c r="K59" s="9"/>
    </row>
    <row r="60" spans="2:11" x14ac:dyDescent="0.2">
      <c r="B60" s="106"/>
      <c r="C60" s="100"/>
      <c r="D60" s="10"/>
      <c r="E60" s="47" t="s">
        <v>192</v>
      </c>
      <c r="F60" s="48" t="s">
        <v>9</v>
      </c>
      <c r="G60" s="267" t="e">
        <f>(Investimenti!D11+Investimenti!D12)/' Dati tecnici e stima domanda'!D43</f>
        <v>#DIV/0!</v>
      </c>
      <c r="H60" s="95" t="s">
        <v>193</v>
      </c>
      <c r="I60" s="9"/>
      <c r="J60" s="9"/>
      <c r="K60" s="9"/>
    </row>
    <row r="61" spans="2:11" x14ac:dyDescent="0.2">
      <c r="B61" s="106"/>
      <c r="C61" s="100"/>
      <c r="D61" s="10"/>
      <c r="E61" s="47" t="s">
        <v>120</v>
      </c>
      <c r="F61" s="48" t="s">
        <v>9</v>
      </c>
      <c r="G61" s="267" t="e">
        <f>Investimenti!D13/' Dati tecnici e stima domanda'!D43</f>
        <v>#DIV/0!</v>
      </c>
      <c r="H61" s="95" t="s">
        <v>189</v>
      </c>
      <c r="I61" s="9"/>
      <c r="J61" s="9"/>
      <c r="K61" s="9"/>
    </row>
    <row r="62" spans="2:11" ht="13.5" thickBot="1" x14ac:dyDescent="0.25">
      <c r="B62" s="107"/>
      <c r="C62" s="108"/>
      <c r="D62" s="21"/>
      <c r="E62" s="49" t="s">
        <v>194</v>
      </c>
      <c r="F62" s="97" t="s">
        <v>9</v>
      </c>
      <c r="G62" s="268" t="e">
        <f>Investimenti!D9/' Dati tecnici e stima domanda'!D43</f>
        <v>#DIV/0!</v>
      </c>
      <c r="H62" s="113" t="s">
        <v>195</v>
      </c>
      <c r="I62" s="9"/>
      <c r="J62" s="9"/>
      <c r="K62" s="9"/>
    </row>
  </sheetData>
  <sheetProtection password="C632" sheet="1" objects="1" scenarios="1"/>
  <phoneticPr fontId="34" type="noConversion"/>
  <hyperlinks>
    <hyperlink ref="A8" location="info!B137" display="E1"/>
    <hyperlink ref="A45" location="info!B140" display="E2"/>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E18" sqref="E18"/>
    </sheetView>
  </sheetViews>
  <sheetFormatPr defaultRowHeight="15" x14ac:dyDescent="0.25"/>
  <cols>
    <col min="1" max="1" width="6.42578125" style="428" customWidth="1"/>
    <col min="2" max="2" width="43.7109375" style="428" customWidth="1"/>
    <col min="3" max="9" width="19.140625" style="428" customWidth="1"/>
    <col min="10" max="16384" width="9.140625" style="428"/>
  </cols>
  <sheetData>
    <row r="1" spans="1:9" ht="16.5" thickBot="1" x14ac:dyDescent="0.3">
      <c r="A1" s="289"/>
      <c r="B1" s="289" t="s">
        <v>119</v>
      </c>
      <c r="C1" s="290"/>
    </row>
    <row r="2" spans="1:9" ht="15.75" thickBot="1" x14ac:dyDescent="0.3">
      <c r="B2" s="693"/>
    </row>
    <row r="3" spans="1:9" ht="45" x14ac:dyDescent="0.25">
      <c r="A3" s="198" t="s">
        <v>299</v>
      </c>
      <c r="B3" s="230"/>
      <c r="C3" s="231" t="s">
        <v>45</v>
      </c>
      <c r="D3" s="232" t="s">
        <v>46</v>
      </c>
      <c r="E3" s="694"/>
      <c r="F3" s="694"/>
      <c r="G3" s="694"/>
      <c r="H3" s="695"/>
      <c r="I3" s="695"/>
    </row>
    <row r="4" spans="1:9" x14ac:dyDescent="0.25">
      <c r="B4" s="233"/>
      <c r="C4" s="234" t="s">
        <v>47</v>
      </c>
      <c r="D4" s="235" t="s">
        <v>48</v>
      </c>
      <c r="E4" s="696"/>
      <c r="F4" s="696"/>
      <c r="G4" s="696"/>
      <c r="H4" s="696"/>
      <c r="I4" s="696"/>
    </row>
    <row r="5" spans="1:9" x14ac:dyDescent="0.25">
      <c r="B5" s="236" t="s">
        <v>50</v>
      </c>
      <c r="C5" s="237">
        <v>0.06</v>
      </c>
      <c r="D5" s="238">
        <v>10.8</v>
      </c>
      <c r="E5" s="697"/>
      <c r="F5" s="698"/>
      <c r="G5" s="698"/>
      <c r="H5" s="699"/>
      <c r="I5" s="699"/>
    </row>
    <row r="6" spans="1:9" x14ac:dyDescent="0.25">
      <c r="B6" s="239" t="s">
        <v>51</v>
      </c>
      <c r="C6" s="237">
        <v>0.2</v>
      </c>
      <c r="D6" s="238">
        <v>36</v>
      </c>
      <c r="E6" s="697"/>
      <c r="F6" s="698"/>
      <c r="G6" s="698"/>
      <c r="H6" s="699"/>
      <c r="I6" s="699"/>
    </row>
    <row r="7" spans="1:9" x14ac:dyDescent="0.25">
      <c r="B7" s="236" t="s">
        <v>49</v>
      </c>
      <c r="C7" s="237">
        <v>1.22</v>
      </c>
      <c r="D7" s="238">
        <v>298.8</v>
      </c>
      <c r="E7" s="697"/>
      <c r="F7" s="698"/>
      <c r="G7" s="698"/>
      <c r="H7" s="699"/>
      <c r="I7" s="699"/>
    </row>
    <row r="8" spans="1:9" x14ac:dyDescent="0.25">
      <c r="B8" s="236" t="s">
        <v>172</v>
      </c>
      <c r="C8" s="237">
        <v>1.06</v>
      </c>
      <c r="D8" s="238">
        <f>0.063*3.6*1000</f>
        <v>226.8</v>
      </c>
      <c r="E8" s="697"/>
      <c r="F8" s="698"/>
      <c r="G8" s="698"/>
      <c r="H8" s="699"/>
      <c r="I8" s="699"/>
    </row>
    <row r="9" spans="1:9" x14ac:dyDescent="0.25">
      <c r="B9" s="236" t="s">
        <v>174</v>
      </c>
      <c r="C9" s="237">
        <v>1.1599999999999999</v>
      </c>
      <c r="D9" s="238">
        <v>280.8</v>
      </c>
      <c r="E9" s="697"/>
      <c r="F9" s="698"/>
      <c r="G9" s="698"/>
      <c r="H9" s="699"/>
      <c r="I9" s="699"/>
    </row>
    <row r="10" spans="1:9" x14ac:dyDescent="0.25">
      <c r="B10" s="240" t="s">
        <v>399</v>
      </c>
      <c r="C10" s="241">
        <v>0.6</v>
      </c>
      <c r="D10" s="242">
        <v>108</v>
      </c>
      <c r="E10" s="698"/>
      <c r="F10" s="698"/>
      <c r="G10" s="698"/>
      <c r="H10" s="699"/>
      <c r="I10" s="699"/>
    </row>
    <row r="11" spans="1:9" x14ac:dyDescent="0.25">
      <c r="B11" s="240" t="s">
        <v>398</v>
      </c>
      <c r="C11" s="241">
        <v>2.93</v>
      </c>
      <c r="D11" s="242">
        <v>572.4</v>
      </c>
      <c r="E11" s="698"/>
      <c r="F11" s="698"/>
      <c r="G11" s="698"/>
      <c r="H11" s="699"/>
      <c r="I11" s="699"/>
    </row>
    <row r="12" spans="1:9" ht="15.75" thickBot="1" x14ac:dyDescent="0.3">
      <c r="B12" s="243" t="s">
        <v>52</v>
      </c>
      <c r="C12" s="244">
        <v>2.68</v>
      </c>
      <c r="D12" s="245">
        <v>136.80000000000001</v>
      </c>
      <c r="E12" s="697"/>
      <c r="F12" s="698"/>
      <c r="G12" s="698"/>
      <c r="H12" s="699"/>
      <c r="I12" s="699"/>
    </row>
    <row r="13" spans="1:9" x14ac:dyDescent="0.25">
      <c r="B13" s="700" t="s">
        <v>400</v>
      </c>
      <c r="C13" s="701"/>
      <c r="D13" s="702"/>
      <c r="E13" s="703"/>
      <c r="F13" s="703"/>
      <c r="G13" s="703"/>
      <c r="H13" s="703"/>
      <c r="I13" s="703"/>
    </row>
    <row r="15" spans="1:9" ht="30" x14ac:dyDescent="0.25">
      <c r="B15" s="704"/>
      <c r="C15" s="705" t="s">
        <v>167</v>
      </c>
      <c r="D15" s="706" t="s">
        <v>168</v>
      </c>
      <c r="E15" s="706" t="s">
        <v>169</v>
      </c>
      <c r="F15" s="706" t="s">
        <v>170</v>
      </c>
      <c r="G15" s="706" t="s">
        <v>171</v>
      </c>
      <c r="H15" s="706" t="s">
        <v>53</v>
      </c>
      <c r="I15" s="707" t="s">
        <v>54</v>
      </c>
    </row>
    <row r="16" spans="1:9" x14ac:dyDescent="0.25">
      <c r="B16" s="708" t="s">
        <v>55</v>
      </c>
      <c r="C16" s="709">
        <f>'Vettori energetici'!G19</f>
        <v>0</v>
      </c>
      <c r="D16" s="710">
        <f>'Vettori energetici'!G20</f>
        <v>0</v>
      </c>
      <c r="E16" s="710">
        <f>'Vettori energetici'!G21</f>
        <v>0</v>
      </c>
      <c r="F16" s="710">
        <f>'Vettori energetici'!G22</f>
        <v>0</v>
      </c>
      <c r="G16" s="710">
        <f>'Vettori energetici'!G23</f>
        <v>0</v>
      </c>
      <c r="H16" s="710">
        <f>'Vettori energetici'!H24+'Vettori energetici'!H25+'Vettori energetici'!H27</f>
        <v>0</v>
      </c>
      <c r="I16" s="711">
        <f>SUM(C16:H16)</f>
        <v>0</v>
      </c>
    </row>
    <row r="17" spans="2:9" ht="15.75" thickBot="1" x14ac:dyDescent="0.3">
      <c r="B17" s="712" t="s">
        <v>56</v>
      </c>
      <c r="C17" s="713" t="s">
        <v>19</v>
      </c>
      <c r="D17" s="714" t="str">
        <f>C17</f>
        <v>kg/a</v>
      </c>
      <c r="E17" s="714" t="s">
        <v>19</v>
      </c>
      <c r="F17" s="714" t="str">
        <f>E17</f>
        <v>kg/a</v>
      </c>
      <c r="G17" s="714" t="s">
        <v>19</v>
      </c>
      <c r="H17" s="715" t="str">
        <f>D17</f>
        <v>kg/a</v>
      </c>
      <c r="I17" s="716" t="str">
        <f>D17</f>
        <v>kg/a</v>
      </c>
    </row>
    <row r="18" spans="2:9" ht="15.75" thickTop="1" x14ac:dyDescent="0.25">
      <c r="B18" s="717" t="s">
        <v>573</v>
      </c>
      <c r="C18" s="718">
        <f>C16*D5/1000</f>
        <v>0</v>
      </c>
      <c r="D18" s="718">
        <f>D16*D6/1000</f>
        <v>0</v>
      </c>
      <c r="E18" s="718">
        <f>E16*D7/1000</f>
        <v>0</v>
      </c>
      <c r="F18" s="718">
        <f>F16*D8/1000</f>
        <v>0</v>
      </c>
      <c r="G18" s="718">
        <f>G16*D9/1000</f>
        <v>0</v>
      </c>
      <c r="H18" s="718">
        <f>H16*D12/1000</f>
        <v>0</v>
      </c>
      <c r="I18" s="718">
        <f>SUM(C18:H18)</f>
        <v>0</v>
      </c>
    </row>
    <row r="20" spans="2:9" ht="30" x14ac:dyDescent="0.25">
      <c r="B20" s="704"/>
      <c r="C20" s="705" t="str">
        <f>C15</f>
        <v>Emissioni con caldaia a cippato</v>
      </c>
      <c r="D20" s="705" t="str">
        <f>D15</f>
        <v>Emissioni con caldaia a pellet</v>
      </c>
      <c r="E20" s="705" t="str">
        <f>E15</f>
        <v>Emissioni con caldaia a olio</v>
      </c>
      <c r="F20" s="705" t="str">
        <f>F15</f>
        <v>Emissioni con caldaia a metano</v>
      </c>
      <c r="G20" s="705" t="str">
        <f>G15</f>
        <v>Emissioni con caldaia a gpl</v>
      </c>
      <c r="H20" s="706" t="s">
        <v>14</v>
      </c>
      <c r="I20" s="707" t="s">
        <v>57</v>
      </c>
    </row>
    <row r="21" spans="2:9" x14ac:dyDescent="0.25">
      <c r="B21" s="708" t="s">
        <v>58</v>
      </c>
      <c r="C21" s="709">
        <f t="shared" ref="C21:H21" si="0">+C16</f>
        <v>0</v>
      </c>
      <c r="D21" s="709">
        <f t="shared" si="0"/>
        <v>0</v>
      </c>
      <c r="E21" s="709">
        <f t="shared" si="0"/>
        <v>0</v>
      </c>
      <c r="F21" s="709">
        <f t="shared" si="0"/>
        <v>0</v>
      </c>
      <c r="G21" s="709">
        <f t="shared" si="0"/>
        <v>0</v>
      </c>
      <c r="H21" s="709">
        <f t="shared" si="0"/>
        <v>0</v>
      </c>
      <c r="I21" s="711">
        <f>SUM(C21:H21)</f>
        <v>0</v>
      </c>
    </row>
    <row r="22" spans="2:9" ht="15.75" thickBot="1" x14ac:dyDescent="0.3">
      <c r="B22" s="712" t="s">
        <v>56</v>
      </c>
      <c r="C22" s="713" t="s">
        <v>6</v>
      </c>
      <c r="D22" s="715" t="str">
        <f>C22</f>
        <v>kWh/a</v>
      </c>
      <c r="E22" s="715" t="str">
        <f>D22</f>
        <v>kWh/a</v>
      </c>
      <c r="F22" s="715" t="str">
        <f>E22</f>
        <v>kWh/a</v>
      </c>
      <c r="G22" s="715" t="str">
        <f>F22</f>
        <v>kWh/a</v>
      </c>
      <c r="H22" s="715" t="str">
        <f>D22</f>
        <v>kWh/a</v>
      </c>
      <c r="I22" s="716" t="str">
        <f>D22</f>
        <v>kWh/a</v>
      </c>
    </row>
    <row r="23" spans="2:9" ht="15.75" thickTop="1" x14ac:dyDescent="0.25">
      <c r="B23" s="717" t="s">
        <v>527</v>
      </c>
      <c r="C23" s="718">
        <f>+C21*C5</f>
        <v>0</v>
      </c>
      <c r="D23" s="718">
        <f>+D21*C6</f>
        <v>0</v>
      </c>
      <c r="E23" s="718">
        <f>+E21*C7</f>
        <v>0</v>
      </c>
      <c r="F23" s="718">
        <f>+F21*C8</f>
        <v>0</v>
      </c>
      <c r="G23" s="718">
        <f>+G21*C9</f>
        <v>0</v>
      </c>
      <c r="H23" s="718">
        <f>+H21*C12</f>
        <v>0</v>
      </c>
      <c r="I23" s="718">
        <f>SUM(C23:H23)</f>
        <v>0</v>
      </c>
    </row>
  </sheetData>
  <sheetProtection password="C632" sheet="1" objects="1" scenarios="1"/>
  <phoneticPr fontId="34" type="noConversion"/>
  <hyperlinks>
    <hyperlink ref="A3" location="info!A145" display="S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workbookViewId="0">
      <selection activeCell="C85" sqref="C85"/>
    </sheetView>
  </sheetViews>
  <sheetFormatPr defaultColWidth="12.5703125" defaultRowHeight="12.75" x14ac:dyDescent="0.25"/>
  <cols>
    <col min="1" max="1" width="4.140625" style="776" bestFit="1" customWidth="1"/>
    <col min="2" max="2" width="58.42578125" style="720" bestFit="1" customWidth="1"/>
    <col min="3" max="3" width="12.42578125" style="720" bestFit="1" customWidth="1"/>
    <col min="4" max="5" width="10.7109375" style="720" customWidth="1"/>
    <col min="6" max="6" width="12.85546875" style="720" bestFit="1" customWidth="1"/>
    <col min="7" max="34" width="10.7109375" style="720" customWidth="1"/>
    <col min="35" max="35" width="9.85546875" style="720" bestFit="1" customWidth="1"/>
    <col min="36" max="36" width="12.5703125" style="720"/>
    <col min="37" max="16384" width="12.5703125" style="721"/>
  </cols>
  <sheetData>
    <row r="1" spans="1:36" ht="20.25" customHeight="1" thickBot="1" x14ac:dyDescent="0.35">
      <c r="A1" s="193"/>
      <c r="B1" s="719" t="s">
        <v>235</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90"/>
    </row>
    <row r="2" spans="1:36" s="724" customFormat="1" ht="12" x14ac:dyDescent="0.25">
      <c r="A2" s="722"/>
      <c r="B2" s="723"/>
      <c r="C2" s="723"/>
      <c r="AJ2" s="723"/>
    </row>
    <row r="3" spans="1:36" s="727" customFormat="1" ht="12" x14ac:dyDescent="0.25">
      <c r="A3" s="722"/>
      <c r="B3" s="725" t="s">
        <v>215</v>
      </c>
      <c r="C3" s="726"/>
      <c r="AJ3" s="728"/>
    </row>
    <row r="4" spans="1:36" s="724" customFormat="1" ht="12" x14ac:dyDescent="0.25">
      <c r="A4" s="729" t="s">
        <v>302</v>
      </c>
      <c r="B4" s="730" t="s">
        <v>216</v>
      </c>
      <c r="C4" s="229">
        <v>0.03</v>
      </c>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2"/>
      <c r="AJ4" s="728"/>
    </row>
    <row r="5" spans="1:36" s="724" customFormat="1" ht="12" x14ac:dyDescent="0.25">
      <c r="A5" s="722"/>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33"/>
      <c r="AJ5" s="728"/>
    </row>
    <row r="6" spans="1:36" s="727" customFormat="1" ht="12" x14ac:dyDescent="0.25">
      <c r="A6" s="722"/>
      <c r="B6" s="734" t="s">
        <v>217</v>
      </c>
      <c r="C6" s="726" t="s">
        <v>248</v>
      </c>
      <c r="D6" s="726">
        <v>0</v>
      </c>
      <c r="E6" s="726">
        <v>1</v>
      </c>
      <c r="F6" s="726">
        <v>2</v>
      </c>
      <c r="G6" s="726">
        <v>3</v>
      </c>
      <c r="H6" s="726">
        <v>4</v>
      </c>
      <c r="I6" s="726">
        <v>5</v>
      </c>
      <c r="J6" s="726">
        <v>6</v>
      </c>
      <c r="K6" s="726">
        <v>7</v>
      </c>
      <c r="L6" s="726">
        <v>8</v>
      </c>
      <c r="M6" s="726">
        <v>9</v>
      </c>
      <c r="N6" s="726">
        <v>10</v>
      </c>
      <c r="O6" s="726">
        <v>11</v>
      </c>
      <c r="P6" s="726">
        <v>12</v>
      </c>
      <c r="Q6" s="726">
        <v>13</v>
      </c>
      <c r="R6" s="726">
        <v>14</v>
      </c>
      <c r="S6" s="726">
        <v>15</v>
      </c>
      <c r="T6" s="726">
        <v>16</v>
      </c>
      <c r="U6" s="726">
        <v>17</v>
      </c>
      <c r="V6" s="726">
        <v>18</v>
      </c>
      <c r="W6" s="726">
        <v>19</v>
      </c>
      <c r="X6" s="726">
        <v>20</v>
      </c>
      <c r="Y6" s="726">
        <v>21</v>
      </c>
      <c r="Z6" s="726">
        <v>22</v>
      </c>
      <c r="AA6" s="726">
        <v>23</v>
      </c>
      <c r="AB6" s="726">
        <v>24</v>
      </c>
      <c r="AC6" s="726">
        <v>25</v>
      </c>
      <c r="AD6" s="726">
        <v>26</v>
      </c>
      <c r="AE6" s="726">
        <v>27</v>
      </c>
      <c r="AF6" s="726">
        <v>28</v>
      </c>
      <c r="AG6" s="726">
        <v>29</v>
      </c>
      <c r="AH6" s="726">
        <v>30</v>
      </c>
      <c r="AI6" s="726" t="s">
        <v>20</v>
      </c>
      <c r="AJ6" s="728"/>
    </row>
    <row r="7" spans="1:36" s="724" customFormat="1" ht="12" x14ac:dyDescent="0.25">
      <c r="A7" s="722"/>
      <c r="B7" s="735" t="s">
        <v>218</v>
      </c>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23"/>
    </row>
    <row r="8" spans="1:36" s="724" customFormat="1" thickBot="1" x14ac:dyDescent="0.3">
      <c r="A8" s="722"/>
      <c r="B8" s="736"/>
      <c r="C8" s="736"/>
      <c r="D8" s="736"/>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23"/>
    </row>
    <row r="9" spans="1:36" s="724" customFormat="1" thickBot="1" x14ac:dyDescent="0.3">
      <c r="A9" s="722"/>
      <c r="B9" s="737" t="s">
        <v>219</v>
      </c>
      <c r="C9" s="736"/>
      <c r="D9" s="738">
        <f>Investimenti!D38</f>
        <v>0</v>
      </c>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40">
        <f t="shared" ref="AI9:AI27" si="0">SUM(D9:AH9)</f>
        <v>0</v>
      </c>
      <c r="AJ9" s="733"/>
    </row>
    <row r="10" spans="1:36" s="724" customFormat="1" ht="12" x14ac:dyDescent="0.25">
      <c r="A10" s="722"/>
      <c r="B10" s="737" t="s">
        <v>583</v>
      </c>
      <c r="C10" s="728" t="s">
        <v>220</v>
      </c>
      <c r="D10" s="741">
        <f>SUM(D12:D14)</f>
        <v>0</v>
      </c>
      <c r="E10" s="741">
        <f t="shared" ref="E10:AH10" si="1">SUM(E11:E14)</f>
        <v>0</v>
      </c>
      <c r="F10" s="741">
        <f t="shared" si="1"/>
        <v>0</v>
      </c>
      <c r="G10" s="741">
        <f t="shared" si="1"/>
        <v>0</v>
      </c>
      <c r="H10" s="741">
        <f t="shared" si="1"/>
        <v>0</v>
      </c>
      <c r="I10" s="741">
        <f t="shared" si="1"/>
        <v>0</v>
      </c>
      <c r="J10" s="741">
        <f t="shared" si="1"/>
        <v>0</v>
      </c>
      <c r="K10" s="741">
        <f t="shared" si="1"/>
        <v>0</v>
      </c>
      <c r="L10" s="741">
        <f t="shared" si="1"/>
        <v>0</v>
      </c>
      <c r="M10" s="741">
        <f t="shared" si="1"/>
        <v>0</v>
      </c>
      <c r="N10" s="741">
        <f t="shared" si="1"/>
        <v>0</v>
      </c>
      <c r="O10" s="741">
        <f t="shared" si="1"/>
        <v>0</v>
      </c>
      <c r="P10" s="741">
        <f t="shared" si="1"/>
        <v>0</v>
      </c>
      <c r="Q10" s="741">
        <f t="shared" si="1"/>
        <v>0</v>
      </c>
      <c r="R10" s="741">
        <f t="shared" si="1"/>
        <v>0</v>
      </c>
      <c r="S10" s="741">
        <f t="shared" si="1"/>
        <v>0</v>
      </c>
      <c r="T10" s="741">
        <f t="shared" si="1"/>
        <v>0</v>
      </c>
      <c r="U10" s="741">
        <f t="shared" si="1"/>
        <v>0</v>
      </c>
      <c r="V10" s="741">
        <f t="shared" si="1"/>
        <v>0</v>
      </c>
      <c r="W10" s="741">
        <f t="shared" si="1"/>
        <v>0</v>
      </c>
      <c r="X10" s="741">
        <f t="shared" si="1"/>
        <v>0</v>
      </c>
      <c r="Y10" s="741">
        <f t="shared" si="1"/>
        <v>0</v>
      </c>
      <c r="Z10" s="741">
        <f t="shared" si="1"/>
        <v>0</v>
      </c>
      <c r="AA10" s="741">
        <f t="shared" si="1"/>
        <v>0</v>
      </c>
      <c r="AB10" s="741">
        <f t="shared" si="1"/>
        <v>0</v>
      </c>
      <c r="AC10" s="741">
        <f t="shared" si="1"/>
        <v>0</v>
      </c>
      <c r="AD10" s="741">
        <f t="shared" si="1"/>
        <v>0</v>
      </c>
      <c r="AE10" s="741">
        <f t="shared" si="1"/>
        <v>0</v>
      </c>
      <c r="AF10" s="741">
        <f t="shared" si="1"/>
        <v>0</v>
      </c>
      <c r="AG10" s="741">
        <f t="shared" si="1"/>
        <v>0</v>
      </c>
      <c r="AH10" s="741">
        <f t="shared" si="1"/>
        <v>0</v>
      </c>
      <c r="AI10" s="740">
        <f t="shared" si="0"/>
        <v>0</v>
      </c>
      <c r="AJ10" s="723"/>
    </row>
    <row r="11" spans="1:36" s="724" customFormat="1" ht="12" x14ac:dyDescent="0.25">
      <c r="A11" s="722"/>
      <c r="B11" s="742" t="s">
        <v>239</v>
      </c>
      <c r="C11" s="728"/>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43"/>
      <c r="AJ11" s="723"/>
    </row>
    <row r="12" spans="1:36" s="724" customFormat="1" ht="12" x14ac:dyDescent="0.25">
      <c r="A12" s="722"/>
      <c r="B12" s="744" t="s">
        <v>4</v>
      </c>
      <c r="C12" s="728" t="s">
        <v>220</v>
      </c>
      <c r="D12" s="739">
        <f>Costi!$D$10</f>
        <v>0</v>
      </c>
      <c r="E12" s="739">
        <f>Costi!$D$10</f>
        <v>0</v>
      </c>
      <c r="F12" s="739">
        <f>Costi!$D$10</f>
        <v>0</v>
      </c>
      <c r="G12" s="739">
        <f>Costi!$D$10</f>
        <v>0</v>
      </c>
      <c r="H12" s="739">
        <f>Costi!$D$10</f>
        <v>0</v>
      </c>
      <c r="I12" s="739">
        <f>Costi!$D$10</f>
        <v>0</v>
      </c>
      <c r="J12" s="739">
        <f>Costi!$D$10</f>
        <v>0</v>
      </c>
      <c r="K12" s="739">
        <f>Costi!$D$10</f>
        <v>0</v>
      </c>
      <c r="L12" s="739">
        <f>Costi!$D$10</f>
        <v>0</v>
      </c>
      <c r="M12" s="739">
        <f>Costi!$D$10</f>
        <v>0</v>
      </c>
      <c r="N12" s="739">
        <f>Costi!$D$10</f>
        <v>0</v>
      </c>
      <c r="O12" s="739">
        <f>Costi!$D$10</f>
        <v>0</v>
      </c>
      <c r="P12" s="739">
        <f>Costi!$D$10</f>
        <v>0</v>
      </c>
      <c r="Q12" s="739">
        <f>Costi!$D$10</f>
        <v>0</v>
      </c>
      <c r="R12" s="739">
        <f>Costi!$D$10</f>
        <v>0</v>
      </c>
      <c r="S12" s="739">
        <f>Costi!$D$10</f>
        <v>0</v>
      </c>
      <c r="T12" s="739">
        <f>Costi!$D$10</f>
        <v>0</v>
      </c>
      <c r="U12" s="739">
        <f>Costi!$D$10</f>
        <v>0</v>
      </c>
      <c r="V12" s="739">
        <f>Costi!$D$10</f>
        <v>0</v>
      </c>
      <c r="W12" s="739">
        <f>Costi!$D$10</f>
        <v>0</v>
      </c>
      <c r="X12" s="739">
        <f>Costi!$D$10</f>
        <v>0</v>
      </c>
      <c r="Y12" s="739">
        <f>Costi!$D$10</f>
        <v>0</v>
      </c>
      <c r="Z12" s="739">
        <f>Costi!$D$10</f>
        <v>0</v>
      </c>
      <c r="AA12" s="739">
        <f>Costi!$D$10</f>
        <v>0</v>
      </c>
      <c r="AB12" s="739">
        <f>Costi!$D$10</f>
        <v>0</v>
      </c>
      <c r="AC12" s="739">
        <f>Costi!$D$10</f>
        <v>0</v>
      </c>
      <c r="AD12" s="739">
        <f>Costi!$D$10</f>
        <v>0</v>
      </c>
      <c r="AE12" s="739">
        <f>Costi!$D$10</f>
        <v>0</v>
      </c>
      <c r="AF12" s="739">
        <f>Costi!$D$10</f>
        <v>0</v>
      </c>
      <c r="AG12" s="739">
        <f>Costi!$D$10</f>
        <v>0</v>
      </c>
      <c r="AH12" s="739">
        <f>Costi!$D$10</f>
        <v>0</v>
      </c>
      <c r="AI12" s="743">
        <f t="shared" si="0"/>
        <v>0</v>
      </c>
      <c r="AJ12" s="723"/>
    </row>
    <row r="13" spans="1:36" s="724" customFormat="1" ht="12" x14ac:dyDescent="0.25">
      <c r="A13" s="722"/>
      <c r="B13" s="742" t="s">
        <v>240</v>
      </c>
      <c r="C13" s="728"/>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43"/>
      <c r="AJ13" s="723"/>
    </row>
    <row r="14" spans="1:36" s="724" customFormat="1" ht="12" x14ac:dyDescent="0.25">
      <c r="A14" s="722"/>
      <c r="B14" s="744" t="s">
        <v>4</v>
      </c>
      <c r="C14" s="728" t="s">
        <v>220</v>
      </c>
      <c r="D14" s="739">
        <f>Costi!$D$17</f>
        <v>0</v>
      </c>
      <c r="E14" s="739">
        <f>Costi!$D$17</f>
        <v>0</v>
      </c>
      <c r="F14" s="739">
        <f>Costi!$D$17</f>
        <v>0</v>
      </c>
      <c r="G14" s="739">
        <f>Costi!$D$17</f>
        <v>0</v>
      </c>
      <c r="H14" s="739">
        <f>Costi!$D$17</f>
        <v>0</v>
      </c>
      <c r="I14" s="739">
        <f>Costi!$D$17</f>
        <v>0</v>
      </c>
      <c r="J14" s="739">
        <f>Costi!$D$17</f>
        <v>0</v>
      </c>
      <c r="K14" s="739">
        <f>Costi!$D$17</f>
        <v>0</v>
      </c>
      <c r="L14" s="739">
        <f>Costi!$D$17</f>
        <v>0</v>
      </c>
      <c r="M14" s="739">
        <f>Costi!$D$17</f>
        <v>0</v>
      </c>
      <c r="N14" s="739">
        <f>Costi!$D$17</f>
        <v>0</v>
      </c>
      <c r="O14" s="739">
        <f>Costi!$D$17</f>
        <v>0</v>
      </c>
      <c r="P14" s="739">
        <f>Costi!$D$17</f>
        <v>0</v>
      </c>
      <c r="Q14" s="739">
        <f>Costi!$D$17</f>
        <v>0</v>
      </c>
      <c r="R14" s="739">
        <f>Costi!$D$17</f>
        <v>0</v>
      </c>
      <c r="S14" s="739">
        <f>Costi!$D$17</f>
        <v>0</v>
      </c>
      <c r="T14" s="739">
        <f>Costi!$D$17</f>
        <v>0</v>
      </c>
      <c r="U14" s="739">
        <f>Costi!$D$17</f>
        <v>0</v>
      </c>
      <c r="V14" s="739">
        <f>Costi!$D$17</f>
        <v>0</v>
      </c>
      <c r="W14" s="739">
        <f>Costi!$D$17</f>
        <v>0</v>
      </c>
      <c r="X14" s="739">
        <f>Costi!$D$17</f>
        <v>0</v>
      </c>
      <c r="Y14" s="739">
        <f>Costi!$D$17</f>
        <v>0</v>
      </c>
      <c r="Z14" s="739">
        <f>Costi!$D$17</f>
        <v>0</v>
      </c>
      <c r="AA14" s="739">
        <f>Costi!$D$17</f>
        <v>0</v>
      </c>
      <c r="AB14" s="739">
        <f>Costi!$D$17</f>
        <v>0</v>
      </c>
      <c r="AC14" s="739">
        <f>Costi!$D$17</f>
        <v>0</v>
      </c>
      <c r="AD14" s="739">
        <f>Costi!$D$17</f>
        <v>0</v>
      </c>
      <c r="AE14" s="739">
        <f>Costi!$D$17</f>
        <v>0</v>
      </c>
      <c r="AF14" s="739">
        <f>Costi!$D$17</f>
        <v>0</v>
      </c>
      <c r="AG14" s="739">
        <f>Costi!$D$17</f>
        <v>0</v>
      </c>
      <c r="AH14" s="745">
        <f>Costi!$D$17</f>
        <v>0</v>
      </c>
      <c r="AI14" s="743">
        <f t="shared" si="0"/>
        <v>0</v>
      </c>
      <c r="AJ14" s="723"/>
    </row>
    <row r="15" spans="1:36" s="727" customFormat="1" ht="12" x14ac:dyDescent="0.25">
      <c r="A15" s="722"/>
      <c r="B15" s="746" t="s">
        <v>584</v>
      </c>
      <c r="C15" s="728" t="s">
        <v>220</v>
      </c>
      <c r="D15" s="747">
        <f t="shared" ref="D15:AH15" si="2">SUM(D16:D16)</f>
        <v>0</v>
      </c>
      <c r="E15" s="747">
        <f t="shared" si="2"/>
        <v>0</v>
      </c>
      <c r="F15" s="747">
        <f t="shared" si="2"/>
        <v>0</v>
      </c>
      <c r="G15" s="747">
        <f t="shared" si="2"/>
        <v>0</v>
      </c>
      <c r="H15" s="747">
        <f t="shared" si="2"/>
        <v>0</v>
      </c>
      <c r="I15" s="747">
        <f t="shared" si="2"/>
        <v>0</v>
      </c>
      <c r="J15" s="747">
        <f t="shared" si="2"/>
        <v>0</v>
      </c>
      <c r="K15" s="747">
        <f t="shared" si="2"/>
        <v>0</v>
      </c>
      <c r="L15" s="747">
        <f t="shared" si="2"/>
        <v>0</v>
      </c>
      <c r="M15" s="747">
        <f t="shared" si="2"/>
        <v>0</v>
      </c>
      <c r="N15" s="747">
        <f t="shared" si="2"/>
        <v>0</v>
      </c>
      <c r="O15" s="747">
        <f t="shared" si="2"/>
        <v>0</v>
      </c>
      <c r="P15" s="747">
        <f t="shared" si="2"/>
        <v>0</v>
      </c>
      <c r="Q15" s="747">
        <f t="shared" si="2"/>
        <v>0</v>
      </c>
      <c r="R15" s="747">
        <f t="shared" si="2"/>
        <v>0</v>
      </c>
      <c r="S15" s="747">
        <f t="shared" si="2"/>
        <v>0</v>
      </c>
      <c r="T15" s="747">
        <f t="shared" si="2"/>
        <v>0</v>
      </c>
      <c r="U15" s="747">
        <f t="shared" si="2"/>
        <v>0</v>
      </c>
      <c r="V15" s="747">
        <f t="shared" si="2"/>
        <v>0</v>
      </c>
      <c r="W15" s="747">
        <f t="shared" si="2"/>
        <v>0</v>
      </c>
      <c r="X15" s="747">
        <f t="shared" si="2"/>
        <v>0</v>
      </c>
      <c r="Y15" s="747">
        <f t="shared" si="2"/>
        <v>0</v>
      </c>
      <c r="Z15" s="747">
        <f t="shared" si="2"/>
        <v>0</v>
      </c>
      <c r="AA15" s="747">
        <f t="shared" si="2"/>
        <v>0</v>
      </c>
      <c r="AB15" s="747">
        <f t="shared" si="2"/>
        <v>0</v>
      </c>
      <c r="AC15" s="747">
        <f t="shared" si="2"/>
        <v>0</v>
      </c>
      <c r="AD15" s="747">
        <f t="shared" si="2"/>
        <v>0</v>
      </c>
      <c r="AE15" s="747">
        <f t="shared" si="2"/>
        <v>0</v>
      </c>
      <c r="AF15" s="747">
        <f t="shared" si="2"/>
        <v>0</v>
      </c>
      <c r="AG15" s="747">
        <f t="shared" si="2"/>
        <v>0</v>
      </c>
      <c r="AH15" s="747">
        <f t="shared" si="2"/>
        <v>0</v>
      </c>
      <c r="AI15" s="740">
        <f t="shared" si="0"/>
        <v>0</v>
      </c>
      <c r="AJ15" s="748"/>
    </row>
    <row r="16" spans="1:36" s="724" customFormat="1" ht="12" x14ac:dyDescent="0.25">
      <c r="A16" s="722"/>
      <c r="B16" s="749" t="s">
        <v>4</v>
      </c>
      <c r="C16" s="728" t="s">
        <v>220</v>
      </c>
      <c r="D16" s="739">
        <f>Costi!$D$25</f>
        <v>0</v>
      </c>
      <c r="E16" s="739">
        <f>Costi!$D$25</f>
        <v>0</v>
      </c>
      <c r="F16" s="739">
        <f>Costi!$D$25</f>
        <v>0</v>
      </c>
      <c r="G16" s="739">
        <f>Costi!$D$25</f>
        <v>0</v>
      </c>
      <c r="H16" s="739">
        <f>Costi!$D$25</f>
        <v>0</v>
      </c>
      <c r="I16" s="739">
        <f>Costi!$D$25</f>
        <v>0</v>
      </c>
      <c r="J16" s="739">
        <f>Costi!$D$25</f>
        <v>0</v>
      </c>
      <c r="K16" s="739">
        <f>Costi!$D$25</f>
        <v>0</v>
      </c>
      <c r="L16" s="739">
        <f>Costi!$D$25</f>
        <v>0</v>
      </c>
      <c r="M16" s="739">
        <f>Costi!$D$25</f>
        <v>0</v>
      </c>
      <c r="N16" s="739">
        <f>Costi!$D$25</f>
        <v>0</v>
      </c>
      <c r="O16" s="739">
        <f>Costi!$D$25</f>
        <v>0</v>
      </c>
      <c r="P16" s="739">
        <f>Costi!$D$25</f>
        <v>0</v>
      </c>
      <c r="Q16" s="739">
        <f>Costi!$D$25</f>
        <v>0</v>
      </c>
      <c r="R16" s="739">
        <f>Costi!$D$25</f>
        <v>0</v>
      </c>
      <c r="S16" s="739">
        <f>Costi!$D$25</f>
        <v>0</v>
      </c>
      <c r="T16" s="739">
        <f>Costi!$D$25</f>
        <v>0</v>
      </c>
      <c r="U16" s="739">
        <f>Costi!$D$25</f>
        <v>0</v>
      </c>
      <c r="V16" s="739">
        <f>Costi!$D$25</f>
        <v>0</v>
      </c>
      <c r="W16" s="739">
        <f>Costi!$D$25</f>
        <v>0</v>
      </c>
      <c r="X16" s="739">
        <f>Costi!$D$25</f>
        <v>0</v>
      </c>
      <c r="Y16" s="739">
        <f>Costi!$D$25</f>
        <v>0</v>
      </c>
      <c r="Z16" s="739">
        <f>Costi!$D$25</f>
        <v>0</v>
      </c>
      <c r="AA16" s="739">
        <f>Costi!$D$25</f>
        <v>0</v>
      </c>
      <c r="AB16" s="739">
        <f>Costi!$D$25</f>
        <v>0</v>
      </c>
      <c r="AC16" s="739">
        <f>Costi!$D$25</f>
        <v>0</v>
      </c>
      <c r="AD16" s="739">
        <f>Costi!$D$25</f>
        <v>0</v>
      </c>
      <c r="AE16" s="739">
        <f>Costi!$D$25</f>
        <v>0</v>
      </c>
      <c r="AF16" s="739">
        <f>Costi!$D$25</f>
        <v>0</v>
      </c>
      <c r="AG16" s="739">
        <f>Costi!$D$25</f>
        <v>0</v>
      </c>
      <c r="AH16" s="739">
        <f>Costi!$D$25</f>
        <v>0</v>
      </c>
      <c r="AI16" s="743">
        <f t="shared" si="0"/>
        <v>0</v>
      </c>
      <c r="AJ16" s="723"/>
    </row>
    <row r="17" spans="1:36" s="727" customFormat="1" ht="12" x14ac:dyDescent="0.25">
      <c r="A17" s="729" t="s">
        <v>334</v>
      </c>
      <c r="B17" s="750" t="s">
        <v>12</v>
      </c>
      <c r="C17" s="728" t="s">
        <v>220</v>
      </c>
      <c r="D17" s="747">
        <f>D21</f>
        <v>0</v>
      </c>
      <c r="E17" s="747">
        <f t="shared" ref="E17:X17" si="3">E21</f>
        <v>0</v>
      </c>
      <c r="F17" s="747">
        <f t="shared" si="3"/>
        <v>0</v>
      </c>
      <c r="G17" s="747">
        <f t="shared" si="3"/>
        <v>0</v>
      </c>
      <c r="H17" s="747">
        <f t="shared" si="3"/>
        <v>0</v>
      </c>
      <c r="I17" s="747">
        <f t="shared" si="3"/>
        <v>0</v>
      </c>
      <c r="J17" s="747">
        <f t="shared" si="3"/>
        <v>0</v>
      </c>
      <c r="K17" s="747">
        <f t="shared" si="3"/>
        <v>0</v>
      </c>
      <c r="L17" s="747">
        <f t="shared" si="3"/>
        <v>0</v>
      </c>
      <c r="M17" s="747">
        <f t="shared" si="3"/>
        <v>0</v>
      </c>
      <c r="N17" s="747">
        <f t="shared" si="3"/>
        <v>0</v>
      </c>
      <c r="O17" s="747">
        <f t="shared" si="3"/>
        <v>0</v>
      </c>
      <c r="P17" s="747">
        <f t="shared" si="3"/>
        <v>0</v>
      </c>
      <c r="Q17" s="747">
        <f t="shared" si="3"/>
        <v>0</v>
      </c>
      <c r="R17" s="747">
        <f t="shared" si="3"/>
        <v>0</v>
      </c>
      <c r="S17" s="747">
        <f t="shared" si="3"/>
        <v>0</v>
      </c>
      <c r="T17" s="747">
        <f t="shared" si="3"/>
        <v>0</v>
      </c>
      <c r="U17" s="747">
        <f t="shared" si="3"/>
        <v>0</v>
      </c>
      <c r="V17" s="747">
        <f t="shared" si="3"/>
        <v>0</v>
      </c>
      <c r="W17" s="747">
        <f t="shared" si="3"/>
        <v>0</v>
      </c>
      <c r="X17" s="747">
        <f t="shared" si="3"/>
        <v>0</v>
      </c>
      <c r="Y17" s="747">
        <f t="shared" ref="Y17:AH17" si="4">Y21</f>
        <v>0</v>
      </c>
      <c r="Z17" s="747">
        <f t="shared" si="4"/>
        <v>0</v>
      </c>
      <c r="AA17" s="747">
        <f t="shared" si="4"/>
        <v>0</v>
      </c>
      <c r="AB17" s="747">
        <f t="shared" si="4"/>
        <v>0</v>
      </c>
      <c r="AC17" s="747">
        <f t="shared" si="4"/>
        <v>0</v>
      </c>
      <c r="AD17" s="747">
        <f t="shared" si="4"/>
        <v>0</v>
      </c>
      <c r="AE17" s="747">
        <f t="shared" si="4"/>
        <v>0</v>
      </c>
      <c r="AF17" s="747">
        <f t="shared" si="4"/>
        <v>0</v>
      </c>
      <c r="AG17" s="747">
        <f t="shared" si="4"/>
        <v>0</v>
      </c>
      <c r="AH17" s="747">
        <f t="shared" si="4"/>
        <v>0</v>
      </c>
      <c r="AI17" s="740">
        <f t="shared" si="0"/>
        <v>0</v>
      </c>
      <c r="AJ17" s="748"/>
    </row>
    <row r="18" spans="1:36" s="724" customFormat="1" ht="12" x14ac:dyDescent="0.25">
      <c r="A18" s="751"/>
      <c r="B18" s="749" t="s">
        <v>564</v>
      </c>
      <c r="C18" s="728" t="s">
        <v>2</v>
      </c>
      <c r="D18" s="275">
        <v>0.9</v>
      </c>
      <c r="E18" s="275">
        <v>0.9</v>
      </c>
      <c r="F18" s="275">
        <v>0.9</v>
      </c>
      <c r="G18" s="275">
        <v>0.95</v>
      </c>
      <c r="H18" s="275">
        <v>1</v>
      </c>
      <c r="I18" s="275">
        <v>1</v>
      </c>
      <c r="J18" s="275">
        <v>1</v>
      </c>
      <c r="K18" s="275">
        <v>1</v>
      </c>
      <c r="L18" s="275">
        <v>1</v>
      </c>
      <c r="M18" s="275">
        <v>1</v>
      </c>
      <c r="N18" s="275">
        <v>1</v>
      </c>
      <c r="O18" s="275">
        <v>1</v>
      </c>
      <c r="P18" s="275">
        <v>1</v>
      </c>
      <c r="Q18" s="275">
        <v>1</v>
      </c>
      <c r="R18" s="275">
        <v>1</v>
      </c>
      <c r="S18" s="275">
        <v>1</v>
      </c>
      <c r="T18" s="275">
        <v>1</v>
      </c>
      <c r="U18" s="275">
        <v>1</v>
      </c>
      <c r="V18" s="275">
        <v>1</v>
      </c>
      <c r="W18" s="275">
        <v>1</v>
      </c>
      <c r="X18" s="275">
        <v>1</v>
      </c>
      <c r="Y18" s="275">
        <v>1</v>
      </c>
      <c r="Z18" s="275">
        <v>1</v>
      </c>
      <c r="AA18" s="275">
        <v>1</v>
      </c>
      <c r="AB18" s="275">
        <v>1</v>
      </c>
      <c r="AC18" s="275">
        <v>1</v>
      </c>
      <c r="AD18" s="275">
        <v>1</v>
      </c>
      <c r="AE18" s="275">
        <v>1</v>
      </c>
      <c r="AF18" s="275">
        <v>1</v>
      </c>
      <c r="AG18" s="275">
        <v>1</v>
      </c>
      <c r="AH18" s="275">
        <v>1</v>
      </c>
      <c r="AI18" s="743"/>
      <c r="AJ18" s="723"/>
    </row>
    <row r="19" spans="1:36" s="724" customFormat="1" ht="12" x14ac:dyDescent="0.25">
      <c r="A19" s="751"/>
      <c r="B19" s="749" t="s">
        <v>577</v>
      </c>
      <c r="C19" s="728" t="s">
        <v>2</v>
      </c>
      <c r="D19" s="739"/>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c r="Y19" s="162">
        <v>0</v>
      </c>
      <c r="Z19" s="162">
        <v>0</v>
      </c>
      <c r="AA19" s="162">
        <v>0</v>
      </c>
      <c r="AB19" s="162">
        <v>0</v>
      </c>
      <c r="AC19" s="162">
        <v>0</v>
      </c>
      <c r="AD19" s="162">
        <v>0</v>
      </c>
      <c r="AE19" s="162">
        <v>0</v>
      </c>
      <c r="AF19" s="162">
        <v>0</v>
      </c>
      <c r="AG19" s="162">
        <v>0</v>
      </c>
      <c r="AH19" s="162">
        <v>0</v>
      </c>
      <c r="AI19" s="743"/>
      <c r="AJ19" s="723"/>
    </row>
    <row r="20" spans="1:36" s="724" customFormat="1" ht="12" x14ac:dyDescent="0.25">
      <c r="A20" s="751"/>
      <c r="B20" s="749" t="s">
        <v>576</v>
      </c>
      <c r="C20" s="728"/>
      <c r="D20" s="739"/>
      <c r="E20" s="162">
        <v>0</v>
      </c>
      <c r="F20" s="162">
        <v>0</v>
      </c>
      <c r="G20" s="162">
        <v>0</v>
      </c>
      <c r="H20" s="162">
        <v>0</v>
      </c>
      <c r="I20" s="162">
        <v>0</v>
      </c>
      <c r="J20" s="162">
        <v>0</v>
      </c>
      <c r="K20" s="162">
        <v>0</v>
      </c>
      <c r="L20" s="162">
        <v>0</v>
      </c>
      <c r="M20" s="162">
        <v>0</v>
      </c>
      <c r="N20" s="162">
        <v>0</v>
      </c>
      <c r="O20" s="162">
        <v>0</v>
      </c>
      <c r="P20" s="162">
        <v>0</v>
      </c>
      <c r="Q20" s="162">
        <v>0</v>
      </c>
      <c r="R20" s="162">
        <v>0</v>
      </c>
      <c r="S20" s="162">
        <v>0</v>
      </c>
      <c r="T20" s="162">
        <v>0</v>
      </c>
      <c r="U20" s="162">
        <v>0</v>
      </c>
      <c r="V20" s="162">
        <v>0</v>
      </c>
      <c r="W20" s="162">
        <v>0</v>
      </c>
      <c r="X20" s="162">
        <v>0</v>
      </c>
      <c r="Y20" s="162">
        <v>0</v>
      </c>
      <c r="Z20" s="162">
        <v>0</v>
      </c>
      <c r="AA20" s="162">
        <v>0</v>
      </c>
      <c r="AB20" s="162">
        <v>0</v>
      </c>
      <c r="AC20" s="162">
        <v>0</v>
      </c>
      <c r="AD20" s="162">
        <v>0</v>
      </c>
      <c r="AE20" s="162">
        <v>0</v>
      </c>
      <c r="AF20" s="162">
        <v>0</v>
      </c>
      <c r="AG20" s="162">
        <v>0</v>
      </c>
      <c r="AH20" s="162">
        <v>0</v>
      </c>
      <c r="AI20" s="743"/>
      <c r="AJ20" s="723"/>
    </row>
    <row r="21" spans="1:36" s="724" customFormat="1" ht="12" x14ac:dyDescent="0.25">
      <c r="A21" s="722"/>
      <c r="B21" s="752" t="s">
        <v>578</v>
      </c>
      <c r="C21" s="728" t="s">
        <v>220</v>
      </c>
      <c r="D21" s="739">
        <f>Costi!$D$33*D18</f>
        <v>0</v>
      </c>
      <c r="E21" s="739">
        <f>(SUM('Vettori energetici'!$L$19:$L$23)*(1+E19)+SUM('Vettori energetici'!$L$24:$L$26)*(1+E20))*E18</f>
        <v>0</v>
      </c>
      <c r="F21" s="739">
        <f>(SUM('Vettori energetici'!$L$19:$L$23)*(1+F19)+SUM('Vettori energetici'!$L$24:$L$26)*(1+F20))*F18</f>
        <v>0</v>
      </c>
      <c r="G21" s="739">
        <f>(SUM('Vettori energetici'!$L$19:$L$23)*(1+G19)+SUM('Vettori energetici'!$L$24:$L$26)*(1+G20))*G18</f>
        <v>0</v>
      </c>
      <c r="H21" s="739">
        <f>(SUM('Vettori energetici'!$L$19:$L$23)*(1+H19)+SUM('Vettori energetici'!$L$24:$L$26)*(1+H20))*H18</f>
        <v>0</v>
      </c>
      <c r="I21" s="739">
        <f>(SUM('Vettori energetici'!$L$19:$L$23)*(1+I19)+SUM('Vettori energetici'!$L$24:$L$26)*(1+I20))*I18</f>
        <v>0</v>
      </c>
      <c r="J21" s="739">
        <f>(SUM('Vettori energetici'!$L$19:$L$23)*(1+J19)+SUM('Vettori energetici'!$L$24:$L$26)*(1+J20))*J18</f>
        <v>0</v>
      </c>
      <c r="K21" s="739">
        <f>(SUM('Vettori energetici'!$L$19:$L$23)*(1+K19)+SUM('Vettori energetici'!$L$24:$L$26)*(1+K20))*K18</f>
        <v>0</v>
      </c>
      <c r="L21" s="739">
        <f>(SUM('Vettori energetici'!$L$19:$L$23)*(1+L19)+SUM('Vettori energetici'!$L$24:$L$26)*(1+L20))*L18</f>
        <v>0</v>
      </c>
      <c r="M21" s="739">
        <f>(SUM('Vettori energetici'!$L$19:$L$23)*(1+M19)+SUM('Vettori energetici'!$L$24:$L$26)*(1+M20))*M18</f>
        <v>0</v>
      </c>
      <c r="N21" s="739">
        <f>(SUM('Vettori energetici'!$L$19:$L$23)*(1+N19)+SUM('Vettori energetici'!$L$24:$L$26)*(1+N20))*N18</f>
        <v>0</v>
      </c>
      <c r="O21" s="739">
        <f>(SUM('Vettori energetici'!$L$19:$L$23)*(1+O19)+SUM('Vettori energetici'!$L$24:$L$26)*(1+O20))*O18</f>
        <v>0</v>
      </c>
      <c r="P21" s="739">
        <f>(SUM('Vettori energetici'!$L$19:$L$23)*(1+P19)+SUM('Vettori energetici'!$L$24:$L$26)*(1+P20))*P18</f>
        <v>0</v>
      </c>
      <c r="Q21" s="739">
        <f>(SUM('Vettori energetici'!$L$19:$L$23)*(1+Q19)+SUM('Vettori energetici'!$L$24:$L$26)*(1+Q20))*Q18</f>
        <v>0</v>
      </c>
      <c r="R21" s="739">
        <f>(SUM('Vettori energetici'!$L$19:$L$23)*(1+R19)+SUM('Vettori energetici'!$L$24:$L$26)*(1+R20))*R18</f>
        <v>0</v>
      </c>
      <c r="S21" s="739">
        <f>(SUM('Vettori energetici'!$L$19:$L$23)*(1+S19)+SUM('Vettori energetici'!$L$24:$L$26)*(1+S20))*S18</f>
        <v>0</v>
      </c>
      <c r="T21" s="739">
        <f>(SUM('Vettori energetici'!$L$19:$L$23)*(1+T19)+SUM('Vettori energetici'!$L$24:$L$26)*(1+T20))*T18</f>
        <v>0</v>
      </c>
      <c r="U21" s="739">
        <f>(SUM('Vettori energetici'!$L$19:$L$23)*(1+U19)+SUM('Vettori energetici'!$L$24:$L$26)*(1+U20))*U18</f>
        <v>0</v>
      </c>
      <c r="V21" s="739">
        <f>(SUM('Vettori energetici'!$L$19:$L$23)*(1+V19)+SUM('Vettori energetici'!$L$24:$L$26)*(1+V20))*V18</f>
        <v>0</v>
      </c>
      <c r="W21" s="739">
        <f>(SUM('Vettori energetici'!$L$19:$L$23)*(1+W19)+SUM('Vettori energetici'!$L$24:$L$26)*(1+W20))*W18</f>
        <v>0</v>
      </c>
      <c r="X21" s="739">
        <f>(SUM('Vettori energetici'!$L$19:$L$23)*(1+X19)+SUM('Vettori energetici'!$L$24:$L$26)*(1+X20))*X18</f>
        <v>0</v>
      </c>
      <c r="Y21" s="739">
        <f>(SUM('Vettori energetici'!$L$19:$L$23)*(1+Y19)+SUM('Vettori energetici'!$L$24:$L$26)*(1+Y20))*Y18</f>
        <v>0</v>
      </c>
      <c r="Z21" s="739">
        <f>(SUM('Vettori energetici'!$L$19:$L$23)*(1+Z19)+SUM('Vettori energetici'!$L$24:$L$26)*(1+Z20))*Z18</f>
        <v>0</v>
      </c>
      <c r="AA21" s="739">
        <f>(SUM('Vettori energetici'!$L$19:$L$23)*(1+AA19)+SUM('Vettori energetici'!$L$24:$L$26)*(1+AA20))*AA18</f>
        <v>0</v>
      </c>
      <c r="AB21" s="739">
        <f>(SUM('Vettori energetici'!$L$19:$L$23)*(1+AB19)+SUM('Vettori energetici'!$L$24:$L$26)*(1+AB20))*AB18</f>
        <v>0</v>
      </c>
      <c r="AC21" s="739">
        <f>(SUM('Vettori energetici'!$L$19:$L$23)*(1+AC19)+SUM('Vettori energetici'!$L$24:$L$26)*(1+AC20))*AC18</f>
        <v>0</v>
      </c>
      <c r="AD21" s="739">
        <f>(SUM('Vettori energetici'!$L$19:$L$23)*(1+AD19)+SUM('Vettori energetici'!$L$24:$L$26)*(1+AD20))*AD18</f>
        <v>0</v>
      </c>
      <c r="AE21" s="739">
        <f>(SUM('Vettori energetici'!$L$19:$L$23)*(1+AE19)+SUM('Vettori energetici'!$L$24:$L$26)*(1+AE20))*AE18</f>
        <v>0</v>
      </c>
      <c r="AF21" s="739">
        <f>(SUM('Vettori energetici'!$L$19:$L$23)*(1+AF19)+SUM('Vettori energetici'!$L$24:$L$26)*(1+AF20))*AF18</f>
        <v>0</v>
      </c>
      <c r="AG21" s="739">
        <f>(SUM('Vettori energetici'!$L$19:$L$23)*(1+AG19)+SUM('Vettori energetici'!$L$24:$L$26)*(1+AG20))*AG18</f>
        <v>0</v>
      </c>
      <c r="AH21" s="739">
        <f>(SUM('Vettori energetici'!$L$19:$L$23)*(1+AH19)+SUM('Vettori energetici'!$L$24:$L$26)*(1+AH20))*AH18</f>
        <v>0</v>
      </c>
      <c r="AI21" s="743">
        <f t="shared" si="0"/>
        <v>0</v>
      </c>
      <c r="AJ21" s="723"/>
    </row>
    <row r="22" spans="1:36" s="727" customFormat="1" ht="12" x14ac:dyDescent="0.25">
      <c r="A22" s="729" t="s">
        <v>335</v>
      </c>
      <c r="B22" s="746" t="s">
        <v>230</v>
      </c>
      <c r="C22" s="728" t="s">
        <v>220</v>
      </c>
      <c r="D22" s="747">
        <f>D23</f>
        <v>0</v>
      </c>
      <c r="E22" s="747">
        <f t="shared" ref="E22:AH22" si="5">E23</f>
        <v>0</v>
      </c>
      <c r="F22" s="747">
        <f t="shared" si="5"/>
        <v>0</v>
      </c>
      <c r="G22" s="747">
        <f t="shared" si="5"/>
        <v>0</v>
      </c>
      <c r="H22" s="747">
        <f t="shared" si="5"/>
        <v>0</v>
      </c>
      <c r="I22" s="747">
        <f t="shared" si="5"/>
        <v>0</v>
      </c>
      <c r="J22" s="747">
        <f t="shared" si="5"/>
        <v>0</v>
      </c>
      <c r="K22" s="747">
        <f t="shared" si="5"/>
        <v>0</v>
      </c>
      <c r="L22" s="747">
        <f t="shared" si="5"/>
        <v>0</v>
      </c>
      <c r="M22" s="747">
        <f t="shared" si="5"/>
        <v>0</v>
      </c>
      <c r="N22" s="747">
        <f t="shared" si="5"/>
        <v>0</v>
      </c>
      <c r="O22" s="747">
        <f t="shared" si="5"/>
        <v>0</v>
      </c>
      <c r="P22" s="747">
        <f t="shared" si="5"/>
        <v>0</v>
      </c>
      <c r="Q22" s="747">
        <f t="shared" si="5"/>
        <v>0</v>
      </c>
      <c r="R22" s="747">
        <f t="shared" si="5"/>
        <v>0</v>
      </c>
      <c r="S22" s="747">
        <f t="shared" si="5"/>
        <v>0</v>
      </c>
      <c r="T22" s="747">
        <f t="shared" si="5"/>
        <v>0</v>
      </c>
      <c r="U22" s="747">
        <f t="shared" si="5"/>
        <v>0</v>
      </c>
      <c r="V22" s="747">
        <f t="shared" si="5"/>
        <v>0</v>
      </c>
      <c r="W22" s="747">
        <f t="shared" si="5"/>
        <v>0</v>
      </c>
      <c r="X22" s="747">
        <f t="shared" si="5"/>
        <v>0</v>
      </c>
      <c r="Y22" s="747">
        <f t="shared" si="5"/>
        <v>0</v>
      </c>
      <c r="Z22" s="747">
        <f t="shared" si="5"/>
        <v>0</v>
      </c>
      <c r="AA22" s="747">
        <f t="shared" si="5"/>
        <v>0</v>
      </c>
      <c r="AB22" s="747">
        <f t="shared" si="5"/>
        <v>0</v>
      </c>
      <c r="AC22" s="747">
        <f t="shared" si="5"/>
        <v>0</v>
      </c>
      <c r="AD22" s="747">
        <f t="shared" si="5"/>
        <v>0</v>
      </c>
      <c r="AE22" s="747">
        <f t="shared" si="5"/>
        <v>0</v>
      </c>
      <c r="AF22" s="747">
        <f t="shared" si="5"/>
        <v>0</v>
      </c>
      <c r="AG22" s="747">
        <f t="shared" si="5"/>
        <v>0</v>
      </c>
      <c r="AH22" s="747">
        <f t="shared" si="5"/>
        <v>0</v>
      </c>
      <c r="AI22" s="740">
        <f t="shared" si="0"/>
        <v>0</v>
      </c>
      <c r="AJ22" s="748"/>
    </row>
    <row r="23" spans="1:36" s="724" customFormat="1" ht="12" x14ac:dyDescent="0.25">
      <c r="A23" s="722"/>
      <c r="B23" s="744" t="s">
        <v>3</v>
      </c>
      <c r="C23" s="728" t="s">
        <v>220</v>
      </c>
      <c r="D23" s="739">
        <f>Costi!$D$9+Costi!$D$16+Costi!$D$24</f>
        <v>0</v>
      </c>
      <c r="E23" s="115">
        <f>Costi!$D$9+Costi!$D$16+Costi!$D$24</f>
        <v>0</v>
      </c>
      <c r="F23" s="115">
        <f>Costi!$D$9+Costi!$D$16+Costi!$D$24</f>
        <v>0</v>
      </c>
      <c r="G23" s="115">
        <f>Costi!$D$9+Costi!$D$16+Costi!$D$24</f>
        <v>0</v>
      </c>
      <c r="H23" s="115">
        <f>Costi!$D$9+Costi!$D$16+Costi!$D$24</f>
        <v>0</v>
      </c>
      <c r="I23" s="115">
        <f>Costi!$D$9+Costi!$D$16+Costi!$D$24</f>
        <v>0</v>
      </c>
      <c r="J23" s="115">
        <f>Costi!$D$9+Costi!$D$16+Costi!$D$24</f>
        <v>0</v>
      </c>
      <c r="K23" s="115">
        <f>Costi!$D$9+Costi!$D$16+Costi!$D$24</f>
        <v>0</v>
      </c>
      <c r="L23" s="115">
        <f>Costi!$D$9+Costi!$D$16+Costi!$D$24</f>
        <v>0</v>
      </c>
      <c r="M23" s="115">
        <f>Costi!$D$9+Costi!$D$16+Costi!$D$24</f>
        <v>0</v>
      </c>
      <c r="N23" s="115">
        <f>Costi!$D$9+Costi!$D$16+Costi!$D$24</f>
        <v>0</v>
      </c>
      <c r="O23" s="115">
        <f>Costi!$D$9+Costi!$D$16+Costi!$D$24</f>
        <v>0</v>
      </c>
      <c r="P23" s="115">
        <f>Costi!$D$9+Costi!$D$16+Costi!$D$24</f>
        <v>0</v>
      </c>
      <c r="Q23" s="115">
        <f>Costi!$D$9+Costi!$D$16+Costi!$D$24</f>
        <v>0</v>
      </c>
      <c r="R23" s="115">
        <f>Costi!$D$9+Costi!$D$16+Costi!$D$24</f>
        <v>0</v>
      </c>
      <c r="S23" s="115">
        <f>Costi!$D$9+Costi!$D$16+Costi!$D$24</f>
        <v>0</v>
      </c>
      <c r="T23" s="115">
        <f>Costi!$D$9+Costi!$D$16+Costi!$D$24</f>
        <v>0</v>
      </c>
      <c r="U23" s="115">
        <f>Costi!$D$9+Costi!$D$16+Costi!$D$24</f>
        <v>0</v>
      </c>
      <c r="V23" s="115">
        <f>Costi!$D$9+Costi!$D$16+Costi!$D$24</f>
        <v>0</v>
      </c>
      <c r="W23" s="115">
        <f>Costi!$D$9+Costi!$D$16+Costi!$D$24</f>
        <v>0</v>
      </c>
      <c r="X23" s="115">
        <f>Costi!$D$9+Costi!$D$16+Costi!$D$24</f>
        <v>0</v>
      </c>
      <c r="Y23" s="115">
        <f>Costi!$D$9+Costi!$D$16+Costi!$D$24</f>
        <v>0</v>
      </c>
      <c r="Z23" s="115">
        <f>Costi!$D$9+Costi!$D$16+Costi!$D$24</f>
        <v>0</v>
      </c>
      <c r="AA23" s="115">
        <f>Costi!$D$9+Costi!$D$16+Costi!$D$24</f>
        <v>0</v>
      </c>
      <c r="AB23" s="115">
        <f>Costi!$D$9+Costi!$D$16+Costi!$D$24</f>
        <v>0</v>
      </c>
      <c r="AC23" s="115">
        <f>Costi!$D$9+Costi!$D$16+Costi!$D$24</f>
        <v>0</v>
      </c>
      <c r="AD23" s="115">
        <f>Costi!$D$9+Costi!$D$16+Costi!$D$24</f>
        <v>0</v>
      </c>
      <c r="AE23" s="115">
        <f>Costi!$D$9+Costi!$D$16+Costi!$D$24</f>
        <v>0</v>
      </c>
      <c r="AF23" s="115">
        <f>Costi!$D$9+Costi!$D$16+Costi!$D$24</f>
        <v>0</v>
      </c>
      <c r="AG23" s="115">
        <f>Costi!$D$9+Costi!$D$16+Costi!$D$24</f>
        <v>0</v>
      </c>
      <c r="AH23" s="115">
        <f>Costi!$D$9+Costi!$D$16+Costi!$D$24</f>
        <v>0</v>
      </c>
      <c r="AI23" s="743">
        <f t="shared" si="0"/>
        <v>0</v>
      </c>
      <c r="AJ23" s="723"/>
    </row>
    <row r="24" spans="1:36" s="727" customFormat="1" ht="12" x14ac:dyDescent="0.25">
      <c r="A24" s="729" t="s">
        <v>336</v>
      </c>
      <c r="B24" s="746" t="s">
        <v>229</v>
      </c>
      <c r="C24" s="728" t="s">
        <v>220</v>
      </c>
      <c r="D24" s="747">
        <f>SUM(D25:D27)</f>
        <v>0</v>
      </c>
      <c r="E24" s="747">
        <f t="shared" ref="E24:X24" si="6">SUM(E25:E27)</f>
        <v>0</v>
      </c>
      <c r="F24" s="747">
        <f t="shared" si="6"/>
        <v>0</v>
      </c>
      <c r="G24" s="747">
        <f t="shared" si="6"/>
        <v>0</v>
      </c>
      <c r="H24" s="747">
        <f t="shared" si="6"/>
        <v>0</v>
      </c>
      <c r="I24" s="747">
        <f t="shared" si="6"/>
        <v>0</v>
      </c>
      <c r="J24" s="747">
        <f t="shared" si="6"/>
        <v>0</v>
      </c>
      <c r="K24" s="747">
        <f t="shared" si="6"/>
        <v>0</v>
      </c>
      <c r="L24" s="747">
        <f t="shared" si="6"/>
        <v>0</v>
      </c>
      <c r="M24" s="747">
        <f t="shared" si="6"/>
        <v>0</v>
      </c>
      <c r="N24" s="747">
        <f t="shared" si="6"/>
        <v>0</v>
      </c>
      <c r="O24" s="747">
        <f t="shared" si="6"/>
        <v>0</v>
      </c>
      <c r="P24" s="747">
        <f t="shared" si="6"/>
        <v>0</v>
      </c>
      <c r="Q24" s="747">
        <f t="shared" si="6"/>
        <v>0</v>
      </c>
      <c r="R24" s="747">
        <f t="shared" si="6"/>
        <v>0</v>
      </c>
      <c r="S24" s="747">
        <f t="shared" si="6"/>
        <v>0</v>
      </c>
      <c r="T24" s="747">
        <f t="shared" si="6"/>
        <v>0</v>
      </c>
      <c r="U24" s="747">
        <f t="shared" si="6"/>
        <v>0</v>
      </c>
      <c r="V24" s="747">
        <f t="shared" si="6"/>
        <v>0</v>
      </c>
      <c r="W24" s="747">
        <f t="shared" si="6"/>
        <v>0</v>
      </c>
      <c r="X24" s="747">
        <f t="shared" si="6"/>
        <v>0</v>
      </c>
      <c r="Y24" s="747">
        <f t="shared" ref="Y24:AH24" si="7">SUM(Y25:Y27)</f>
        <v>0</v>
      </c>
      <c r="Z24" s="747">
        <f t="shared" si="7"/>
        <v>0</v>
      </c>
      <c r="AA24" s="747">
        <f t="shared" si="7"/>
        <v>0</v>
      </c>
      <c r="AB24" s="747">
        <f t="shared" si="7"/>
        <v>0</v>
      </c>
      <c r="AC24" s="747">
        <f t="shared" si="7"/>
        <v>0</v>
      </c>
      <c r="AD24" s="747">
        <f t="shared" si="7"/>
        <v>0</v>
      </c>
      <c r="AE24" s="747">
        <f t="shared" si="7"/>
        <v>0</v>
      </c>
      <c r="AF24" s="747">
        <f t="shared" si="7"/>
        <v>0</v>
      </c>
      <c r="AG24" s="747">
        <f t="shared" si="7"/>
        <v>0</v>
      </c>
      <c r="AH24" s="747">
        <f t="shared" si="7"/>
        <v>0</v>
      </c>
      <c r="AI24" s="740">
        <f t="shared" si="0"/>
        <v>0</v>
      </c>
      <c r="AJ24" s="748"/>
    </row>
    <row r="25" spans="1:36" s="727" customFormat="1" ht="12" x14ac:dyDescent="0.25">
      <c r="A25" s="722"/>
      <c r="B25" s="744" t="s">
        <v>574</v>
      </c>
      <c r="C25" s="728" t="s">
        <v>220</v>
      </c>
      <c r="D25" s="739">
        <f>Costi!$D$11+Costi!$D$18+Costi!$D$26</f>
        <v>0</v>
      </c>
      <c r="E25" s="284">
        <f>Costi!$D$11+Costi!$D$18+Costi!$D$26</f>
        <v>0</v>
      </c>
      <c r="F25" s="284">
        <f>Costi!$D$11+Costi!$D$18+Costi!$D$26</f>
        <v>0</v>
      </c>
      <c r="G25" s="284">
        <f>Costi!$D$11+Costi!$D$18+Costi!$D$26</f>
        <v>0</v>
      </c>
      <c r="H25" s="284">
        <f>Costi!$D$11+Costi!$D$18+Costi!$D$26</f>
        <v>0</v>
      </c>
      <c r="I25" s="284">
        <f>Costi!$D$11+Costi!$D$18+Costi!$D$26</f>
        <v>0</v>
      </c>
      <c r="J25" s="284">
        <f>Costi!$D$11+Costi!$D$18+Costi!$D$26</f>
        <v>0</v>
      </c>
      <c r="K25" s="284">
        <f>Costi!$D$11+Costi!$D$18+Costi!$D$26</f>
        <v>0</v>
      </c>
      <c r="L25" s="284">
        <f>Costi!$D$11+Costi!$D$18+Costi!$D$26</f>
        <v>0</v>
      </c>
      <c r="M25" s="284">
        <f>Costi!$D$11+Costi!$D$18+Costi!$D$26</f>
        <v>0</v>
      </c>
      <c r="N25" s="284">
        <f>Costi!$D$11+Costi!$D$18+Costi!$D$26</f>
        <v>0</v>
      </c>
      <c r="O25" s="284">
        <f>Costi!$D$11+Costi!$D$18+Costi!$D$26</f>
        <v>0</v>
      </c>
      <c r="P25" s="284">
        <f>Costi!$D$11+Costi!$D$18+Costi!$D$26</f>
        <v>0</v>
      </c>
      <c r="Q25" s="284">
        <f>Costi!$D$11+Costi!$D$18+Costi!$D$26</f>
        <v>0</v>
      </c>
      <c r="R25" s="284">
        <f>Costi!$D$11+Costi!$D$18+Costi!$D$26</f>
        <v>0</v>
      </c>
      <c r="S25" s="284">
        <f>Costi!$D$11+Costi!$D$18+Costi!$D$26</f>
        <v>0</v>
      </c>
      <c r="T25" s="284">
        <f>Costi!$D$11+Costi!$D$18+Costi!$D$26</f>
        <v>0</v>
      </c>
      <c r="U25" s="284">
        <f>Costi!$D$11+Costi!$D$18+Costi!$D$26</f>
        <v>0</v>
      </c>
      <c r="V25" s="284">
        <f>Costi!$D$11+Costi!$D$18+Costi!$D$26</f>
        <v>0</v>
      </c>
      <c r="W25" s="284">
        <f>Costi!$D$11+Costi!$D$18+Costi!$D$26</f>
        <v>0</v>
      </c>
      <c r="X25" s="284">
        <f>Costi!$D$11+Costi!$D$18+Costi!$D$26</f>
        <v>0</v>
      </c>
      <c r="Y25" s="284">
        <f>Costi!$D$11+Costi!$D$18+Costi!$D$26</f>
        <v>0</v>
      </c>
      <c r="Z25" s="284">
        <f>Costi!$D$11+Costi!$D$18+Costi!$D$26</f>
        <v>0</v>
      </c>
      <c r="AA25" s="284">
        <f>Costi!$D$11+Costi!$D$18+Costi!$D$26</f>
        <v>0</v>
      </c>
      <c r="AB25" s="284">
        <f>Costi!$D$11+Costi!$D$18+Costi!$D$26</f>
        <v>0</v>
      </c>
      <c r="AC25" s="284">
        <f>Costi!$D$11+Costi!$D$18+Costi!$D$26</f>
        <v>0</v>
      </c>
      <c r="AD25" s="284">
        <f>Costi!$D$11+Costi!$D$18+Costi!$D$26</f>
        <v>0</v>
      </c>
      <c r="AE25" s="284">
        <f>Costi!$D$11+Costi!$D$18+Costi!$D$26</f>
        <v>0</v>
      </c>
      <c r="AF25" s="284">
        <f>Costi!$D$11+Costi!$D$18+Costi!$D$26</f>
        <v>0</v>
      </c>
      <c r="AG25" s="284">
        <f>Costi!$D$11+Costi!$D$18+Costi!$D$26</f>
        <v>0</v>
      </c>
      <c r="AH25" s="284">
        <f>Costi!$D$11+Costi!$D$18+Costi!$D$26</f>
        <v>0</v>
      </c>
      <c r="AI25" s="743">
        <f t="shared" si="0"/>
        <v>0</v>
      </c>
      <c r="AJ25" s="748"/>
    </row>
    <row r="26" spans="1:36" s="727" customFormat="1" ht="12" x14ac:dyDescent="0.25">
      <c r="A26" s="722"/>
      <c r="B26" s="744" t="s">
        <v>256</v>
      </c>
      <c r="C26" s="728" t="s">
        <v>220</v>
      </c>
      <c r="D26" s="739">
        <f>Investimenti!D41+Investimenti!D42</f>
        <v>0</v>
      </c>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43">
        <f t="shared" si="0"/>
        <v>0</v>
      </c>
      <c r="AJ26" s="748"/>
    </row>
    <row r="27" spans="1:36" s="727" customFormat="1" ht="12" x14ac:dyDescent="0.25">
      <c r="A27" s="722"/>
      <c r="B27" s="744" t="s">
        <v>257</v>
      </c>
      <c r="C27" s="728" t="s">
        <v>220</v>
      </c>
      <c r="D27" s="739">
        <f>Costi!D30+Costi!D31</f>
        <v>0</v>
      </c>
      <c r="E27" s="115">
        <f>D27</f>
        <v>0</v>
      </c>
      <c r="F27" s="115">
        <f t="shared" ref="F27:X27" si="8">E27</f>
        <v>0</v>
      </c>
      <c r="G27" s="115">
        <f t="shared" si="8"/>
        <v>0</v>
      </c>
      <c r="H27" s="115">
        <f t="shared" si="8"/>
        <v>0</v>
      </c>
      <c r="I27" s="115">
        <f t="shared" si="8"/>
        <v>0</v>
      </c>
      <c r="J27" s="115">
        <f t="shared" si="8"/>
        <v>0</v>
      </c>
      <c r="K27" s="115">
        <f t="shared" si="8"/>
        <v>0</v>
      </c>
      <c r="L27" s="115">
        <f t="shared" si="8"/>
        <v>0</v>
      </c>
      <c r="M27" s="115">
        <f t="shared" si="8"/>
        <v>0</v>
      </c>
      <c r="N27" s="115">
        <f t="shared" si="8"/>
        <v>0</v>
      </c>
      <c r="O27" s="115">
        <f t="shared" si="8"/>
        <v>0</v>
      </c>
      <c r="P27" s="115">
        <f t="shared" si="8"/>
        <v>0</v>
      </c>
      <c r="Q27" s="115">
        <f t="shared" si="8"/>
        <v>0</v>
      </c>
      <c r="R27" s="115">
        <f t="shared" si="8"/>
        <v>0</v>
      </c>
      <c r="S27" s="115">
        <f t="shared" si="8"/>
        <v>0</v>
      </c>
      <c r="T27" s="115">
        <f t="shared" si="8"/>
        <v>0</v>
      </c>
      <c r="U27" s="115">
        <f t="shared" si="8"/>
        <v>0</v>
      </c>
      <c r="V27" s="115">
        <f t="shared" si="8"/>
        <v>0</v>
      </c>
      <c r="W27" s="115">
        <f t="shared" si="8"/>
        <v>0</v>
      </c>
      <c r="X27" s="115">
        <f t="shared" si="8"/>
        <v>0</v>
      </c>
      <c r="Y27" s="115">
        <f t="shared" ref="Y27:AH27" si="9">X27</f>
        <v>0</v>
      </c>
      <c r="Z27" s="115">
        <f t="shared" si="9"/>
        <v>0</v>
      </c>
      <c r="AA27" s="115">
        <f t="shared" si="9"/>
        <v>0</v>
      </c>
      <c r="AB27" s="115">
        <f t="shared" si="9"/>
        <v>0</v>
      </c>
      <c r="AC27" s="115">
        <f t="shared" si="9"/>
        <v>0</v>
      </c>
      <c r="AD27" s="115">
        <f t="shared" si="9"/>
        <v>0</v>
      </c>
      <c r="AE27" s="115">
        <f t="shared" si="9"/>
        <v>0</v>
      </c>
      <c r="AF27" s="115">
        <f t="shared" si="9"/>
        <v>0</v>
      </c>
      <c r="AG27" s="115">
        <f t="shared" si="9"/>
        <v>0</v>
      </c>
      <c r="AH27" s="115">
        <f t="shared" si="9"/>
        <v>0</v>
      </c>
      <c r="AI27" s="740">
        <f t="shared" si="0"/>
        <v>0</v>
      </c>
      <c r="AJ27" s="748"/>
    </row>
    <row r="28" spans="1:36" s="727" customFormat="1" ht="12" x14ac:dyDescent="0.25">
      <c r="A28" s="729" t="s">
        <v>337</v>
      </c>
      <c r="B28" s="753" t="s">
        <v>255</v>
      </c>
      <c r="C28" s="753" t="s">
        <v>221</v>
      </c>
      <c r="D28" s="754">
        <f>SUM(D29:D30)</f>
        <v>0</v>
      </c>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40"/>
      <c r="AJ28" s="748"/>
    </row>
    <row r="29" spans="1:36" s="727" customFormat="1" ht="12" x14ac:dyDescent="0.25">
      <c r="A29" s="722"/>
      <c r="B29" s="744" t="s">
        <v>228</v>
      </c>
      <c r="C29" s="728" t="s">
        <v>221</v>
      </c>
      <c r="D29" s="161">
        <v>0</v>
      </c>
      <c r="E29" s="755"/>
      <c r="F29" s="755"/>
      <c r="G29" s="755"/>
      <c r="H29" s="755"/>
      <c r="I29" s="755"/>
      <c r="J29" s="755"/>
      <c r="K29" s="755"/>
      <c r="L29" s="755"/>
      <c r="M29" s="755"/>
      <c r="N29" s="755"/>
      <c r="O29" s="755"/>
      <c r="P29" s="755"/>
      <c r="Q29" s="755"/>
      <c r="R29" s="755"/>
      <c r="S29" s="755"/>
      <c r="T29" s="755"/>
      <c r="U29" s="755"/>
      <c r="V29" s="756"/>
      <c r="W29" s="755"/>
      <c r="X29" s="755"/>
      <c r="Y29" s="755"/>
      <c r="Z29" s="755"/>
      <c r="AA29" s="755"/>
      <c r="AB29" s="755"/>
      <c r="AC29" s="755"/>
      <c r="AD29" s="755"/>
      <c r="AE29" s="755"/>
      <c r="AF29" s="755"/>
      <c r="AG29" s="755"/>
      <c r="AH29" s="755"/>
      <c r="AI29" s="740"/>
      <c r="AJ29" s="736"/>
    </row>
    <row r="30" spans="1:36" s="727" customFormat="1" ht="12" x14ac:dyDescent="0.25">
      <c r="A30" s="722"/>
      <c r="B30" s="744" t="s">
        <v>237</v>
      </c>
      <c r="C30" s="728" t="s">
        <v>221</v>
      </c>
      <c r="D30" s="161">
        <v>0</v>
      </c>
      <c r="E30" s="755"/>
      <c r="F30" s="755"/>
      <c r="G30" s="755"/>
      <c r="H30" s="755"/>
      <c r="I30" s="755"/>
      <c r="J30" s="755"/>
      <c r="K30" s="755"/>
      <c r="L30" s="755"/>
      <c r="M30" s="755"/>
      <c r="N30" s="755"/>
      <c r="O30" s="755"/>
      <c r="P30" s="755"/>
      <c r="Q30" s="755"/>
      <c r="R30" s="755"/>
      <c r="S30" s="755"/>
      <c r="T30" s="755"/>
      <c r="U30" s="755"/>
      <c r="V30" s="756"/>
      <c r="W30" s="755"/>
      <c r="X30" s="755"/>
      <c r="Y30" s="755"/>
      <c r="Z30" s="755"/>
      <c r="AA30" s="755"/>
      <c r="AB30" s="755"/>
      <c r="AC30" s="755"/>
      <c r="AD30" s="755"/>
      <c r="AE30" s="755"/>
      <c r="AF30" s="755"/>
      <c r="AG30" s="755"/>
      <c r="AH30" s="755"/>
      <c r="AI30" s="740"/>
      <c r="AJ30" s="748"/>
    </row>
    <row r="31" spans="1:36" s="724" customFormat="1" ht="12" x14ac:dyDescent="0.25">
      <c r="A31" s="729" t="s">
        <v>338</v>
      </c>
      <c r="B31" s="757" t="s">
        <v>222</v>
      </c>
      <c r="C31" s="757" t="s">
        <v>220</v>
      </c>
      <c r="D31" s="758">
        <f>D9+D10+D15+D17+D22+D24</f>
        <v>0</v>
      </c>
      <c r="E31" s="758">
        <f t="shared" ref="E31:AH31" si="10">E9+E10+E15+E17+E22+E24</f>
        <v>0</v>
      </c>
      <c r="F31" s="758">
        <f>F9+F10+F15+F17+F22+F24</f>
        <v>0</v>
      </c>
      <c r="G31" s="758">
        <f t="shared" si="10"/>
        <v>0</v>
      </c>
      <c r="H31" s="758">
        <f t="shared" si="10"/>
        <v>0</v>
      </c>
      <c r="I31" s="758">
        <f t="shared" si="10"/>
        <v>0</v>
      </c>
      <c r="J31" s="758">
        <f t="shared" si="10"/>
        <v>0</v>
      </c>
      <c r="K31" s="758">
        <f t="shared" si="10"/>
        <v>0</v>
      </c>
      <c r="L31" s="758">
        <f t="shared" si="10"/>
        <v>0</v>
      </c>
      <c r="M31" s="758">
        <f t="shared" si="10"/>
        <v>0</v>
      </c>
      <c r="N31" s="758">
        <f t="shared" si="10"/>
        <v>0</v>
      </c>
      <c r="O31" s="758">
        <f t="shared" si="10"/>
        <v>0</v>
      </c>
      <c r="P31" s="758">
        <f t="shared" si="10"/>
        <v>0</v>
      </c>
      <c r="Q31" s="758">
        <f t="shared" si="10"/>
        <v>0</v>
      </c>
      <c r="R31" s="758">
        <f t="shared" si="10"/>
        <v>0</v>
      </c>
      <c r="S31" s="758">
        <f t="shared" si="10"/>
        <v>0</v>
      </c>
      <c r="T31" s="758">
        <f t="shared" si="10"/>
        <v>0</v>
      </c>
      <c r="U31" s="758">
        <f t="shared" si="10"/>
        <v>0</v>
      </c>
      <c r="V31" s="758">
        <f t="shared" si="10"/>
        <v>0</v>
      </c>
      <c r="W31" s="758">
        <f t="shared" si="10"/>
        <v>0</v>
      </c>
      <c r="X31" s="758">
        <f t="shared" si="10"/>
        <v>0</v>
      </c>
      <c r="Y31" s="758">
        <f t="shared" si="10"/>
        <v>0</v>
      </c>
      <c r="Z31" s="758">
        <f t="shared" si="10"/>
        <v>0</v>
      </c>
      <c r="AA31" s="758">
        <f t="shared" si="10"/>
        <v>0</v>
      </c>
      <c r="AB31" s="758">
        <f t="shared" si="10"/>
        <v>0</v>
      </c>
      <c r="AC31" s="758">
        <f t="shared" si="10"/>
        <v>0</v>
      </c>
      <c r="AD31" s="758">
        <f t="shared" si="10"/>
        <v>0</v>
      </c>
      <c r="AE31" s="758">
        <f t="shared" si="10"/>
        <v>0</v>
      </c>
      <c r="AF31" s="758">
        <f t="shared" si="10"/>
        <v>0</v>
      </c>
      <c r="AG31" s="758">
        <f t="shared" si="10"/>
        <v>0</v>
      </c>
      <c r="AH31" s="758">
        <f t="shared" si="10"/>
        <v>0</v>
      </c>
      <c r="AI31" s="759">
        <f>SUM(D31:AH31)</f>
        <v>0</v>
      </c>
      <c r="AJ31" s="760">
        <f>AI9+AI10+AI15+AI17+AI22+AI24</f>
        <v>0</v>
      </c>
    </row>
    <row r="32" spans="1:36" s="764" customFormat="1" ht="12" x14ac:dyDescent="0.25">
      <c r="A32" s="761"/>
      <c r="B32" s="762"/>
      <c r="C32" s="762"/>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23"/>
    </row>
    <row r="33" spans="1:37" s="724" customFormat="1" ht="12" x14ac:dyDescent="0.25">
      <c r="A33" s="722"/>
      <c r="B33" s="735" t="s">
        <v>231</v>
      </c>
      <c r="C33" s="735"/>
      <c r="D33" s="735"/>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23"/>
    </row>
    <row r="34" spans="1:37" s="724" customFormat="1" ht="12" x14ac:dyDescent="0.25">
      <c r="A34" s="722"/>
      <c r="B34" s="736"/>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3"/>
    </row>
    <row r="35" spans="1:37" s="724" customFormat="1" ht="12" x14ac:dyDescent="0.25">
      <c r="B35" s="723" t="s">
        <v>575</v>
      </c>
      <c r="C35" s="723" t="s">
        <v>220</v>
      </c>
      <c r="D35" s="739">
        <f>('Prezzi e Ricavi'!E5*' Dati tecnici e stima domanda'!D17*(SUM(D18:AH18)/(AH6+1)))/(AH6+1)</f>
        <v>0</v>
      </c>
      <c r="E35" s="739">
        <f>D35</f>
        <v>0</v>
      </c>
      <c r="F35" s="739">
        <f>E35</f>
        <v>0</v>
      </c>
      <c r="G35" s="739">
        <f t="shared" ref="G35:AH35" si="11">F35</f>
        <v>0</v>
      </c>
      <c r="H35" s="739">
        <f t="shared" si="11"/>
        <v>0</v>
      </c>
      <c r="I35" s="739">
        <f t="shared" si="11"/>
        <v>0</v>
      </c>
      <c r="J35" s="739">
        <f t="shared" si="11"/>
        <v>0</v>
      </c>
      <c r="K35" s="739">
        <f t="shared" si="11"/>
        <v>0</v>
      </c>
      <c r="L35" s="739">
        <f t="shared" si="11"/>
        <v>0</v>
      </c>
      <c r="M35" s="739">
        <f t="shared" si="11"/>
        <v>0</v>
      </c>
      <c r="N35" s="739">
        <f t="shared" si="11"/>
        <v>0</v>
      </c>
      <c r="O35" s="739">
        <f t="shared" si="11"/>
        <v>0</v>
      </c>
      <c r="P35" s="739">
        <f t="shared" si="11"/>
        <v>0</v>
      </c>
      <c r="Q35" s="739">
        <f t="shared" si="11"/>
        <v>0</v>
      </c>
      <c r="R35" s="739">
        <f t="shared" si="11"/>
        <v>0</v>
      </c>
      <c r="S35" s="739">
        <f t="shared" si="11"/>
        <v>0</v>
      </c>
      <c r="T35" s="739">
        <f t="shared" si="11"/>
        <v>0</v>
      </c>
      <c r="U35" s="739">
        <f t="shared" si="11"/>
        <v>0</v>
      </c>
      <c r="V35" s="739">
        <f t="shared" si="11"/>
        <v>0</v>
      </c>
      <c r="W35" s="739">
        <f t="shared" si="11"/>
        <v>0</v>
      </c>
      <c r="X35" s="739">
        <f t="shared" si="11"/>
        <v>0</v>
      </c>
      <c r="Y35" s="739">
        <f t="shared" si="11"/>
        <v>0</v>
      </c>
      <c r="Z35" s="739">
        <f t="shared" si="11"/>
        <v>0</v>
      </c>
      <c r="AA35" s="739">
        <f t="shared" si="11"/>
        <v>0</v>
      </c>
      <c r="AB35" s="739">
        <f t="shared" si="11"/>
        <v>0</v>
      </c>
      <c r="AC35" s="739">
        <f t="shared" si="11"/>
        <v>0</v>
      </c>
      <c r="AD35" s="739">
        <f t="shared" si="11"/>
        <v>0</v>
      </c>
      <c r="AE35" s="739">
        <f t="shared" si="11"/>
        <v>0</v>
      </c>
      <c r="AF35" s="739">
        <f t="shared" si="11"/>
        <v>0</v>
      </c>
      <c r="AG35" s="739">
        <f t="shared" si="11"/>
        <v>0</v>
      </c>
      <c r="AH35" s="739">
        <f t="shared" si="11"/>
        <v>0</v>
      </c>
      <c r="AI35" s="740">
        <f>SUM(D35:AH35)</f>
        <v>0</v>
      </c>
      <c r="AJ35" s="723"/>
    </row>
    <row r="36" spans="1:37" s="724" customFormat="1" ht="12" x14ac:dyDescent="0.25">
      <c r="A36" s="729" t="s">
        <v>339</v>
      </c>
      <c r="B36" s="723" t="s">
        <v>579</v>
      </c>
      <c r="C36" s="765" t="s">
        <v>2</v>
      </c>
      <c r="D36" s="739"/>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740"/>
      <c r="AJ36" s="723"/>
    </row>
    <row r="37" spans="1:37" s="724" customFormat="1" ht="12" x14ac:dyDescent="0.25">
      <c r="A37" s="729" t="s">
        <v>340</v>
      </c>
      <c r="B37" s="724" t="s">
        <v>464</v>
      </c>
      <c r="C37" s="723" t="s">
        <v>220</v>
      </c>
      <c r="D37" s="739">
        <f>'Prezzi e Ricavi'!$D$11*D18</f>
        <v>0</v>
      </c>
      <c r="E37" s="739">
        <f>'Prezzi e Ricavi'!$D$11*(1+E36)*E18</f>
        <v>0</v>
      </c>
      <c r="F37" s="739">
        <f>'Prezzi e Ricavi'!$D$11*(1+F36)*F18</f>
        <v>0</v>
      </c>
      <c r="G37" s="739">
        <f>'Prezzi e Ricavi'!$D$11*(1+G36)*G18</f>
        <v>0</v>
      </c>
      <c r="H37" s="739">
        <f>'Prezzi e Ricavi'!$D$11*(1+H36)*H18</f>
        <v>0</v>
      </c>
      <c r="I37" s="739">
        <f>'Prezzi e Ricavi'!$D$11*(1+I36)*I18</f>
        <v>0</v>
      </c>
      <c r="J37" s="739">
        <f>'Prezzi e Ricavi'!$D$11*(1+J36)*J18</f>
        <v>0</v>
      </c>
      <c r="K37" s="739">
        <f>'Prezzi e Ricavi'!$D$11*(1+K36)*K18</f>
        <v>0</v>
      </c>
      <c r="L37" s="739">
        <f>'Prezzi e Ricavi'!$D$11*(1+L36)*L18</f>
        <v>0</v>
      </c>
      <c r="M37" s="739">
        <f>'Prezzi e Ricavi'!$D$11*(1+M36)*M18</f>
        <v>0</v>
      </c>
      <c r="N37" s="739">
        <f>'Prezzi e Ricavi'!$D$11*(1+N36)*N18</f>
        <v>0</v>
      </c>
      <c r="O37" s="739">
        <f>'Prezzi e Ricavi'!$D$11*(1+O36)*O18</f>
        <v>0</v>
      </c>
      <c r="P37" s="739">
        <f>'Prezzi e Ricavi'!$D$11*(1+P36)*P18</f>
        <v>0</v>
      </c>
      <c r="Q37" s="739">
        <f>'Prezzi e Ricavi'!$D$11*(1+Q36)*Q18</f>
        <v>0</v>
      </c>
      <c r="R37" s="739">
        <f>'Prezzi e Ricavi'!$D$11*(1+R36)*R18</f>
        <v>0</v>
      </c>
      <c r="S37" s="739">
        <f>'Prezzi e Ricavi'!$D$11*(1+S36)*S18</f>
        <v>0</v>
      </c>
      <c r="T37" s="739">
        <f>'Prezzi e Ricavi'!$D$11*(1+T36)*T18</f>
        <v>0</v>
      </c>
      <c r="U37" s="739">
        <f>'Prezzi e Ricavi'!$D$11*(1+U36)*U18</f>
        <v>0</v>
      </c>
      <c r="V37" s="739">
        <f>'Prezzi e Ricavi'!$D$11*(1+V36)*V18</f>
        <v>0</v>
      </c>
      <c r="W37" s="739">
        <f>'Prezzi e Ricavi'!$D$11*(1+W36)*W18</f>
        <v>0</v>
      </c>
      <c r="X37" s="739">
        <f>'Prezzi e Ricavi'!$D$11*(1+X36)*X18</f>
        <v>0</v>
      </c>
      <c r="Y37" s="739">
        <f>'Prezzi e Ricavi'!$D$11*(1+Y36)*Y18</f>
        <v>0</v>
      </c>
      <c r="Z37" s="739">
        <f>'Prezzi e Ricavi'!$D$11*(1+Z36)*Z18</f>
        <v>0</v>
      </c>
      <c r="AA37" s="739">
        <f>'Prezzi e Ricavi'!$D$11*(1+AA36)*AA18</f>
        <v>0</v>
      </c>
      <c r="AB37" s="739">
        <f>'Prezzi e Ricavi'!$D$11*(1+AB36)*AB18</f>
        <v>0</v>
      </c>
      <c r="AC37" s="739">
        <f>'Prezzi e Ricavi'!$D$11*(1+AC36)*AC18</f>
        <v>0</v>
      </c>
      <c r="AD37" s="739">
        <f>'Prezzi e Ricavi'!$D$11*(1+AD36)*AD18</f>
        <v>0</v>
      </c>
      <c r="AE37" s="739">
        <f>'Prezzi e Ricavi'!$D$11*(1+AE36)*AE18</f>
        <v>0</v>
      </c>
      <c r="AF37" s="739">
        <f>'Prezzi e Ricavi'!$D$11*(1+AF36)*AF18</f>
        <v>0</v>
      </c>
      <c r="AG37" s="739">
        <f>'Prezzi e Ricavi'!$D$11*(1+AG36)*AG18</f>
        <v>0</v>
      </c>
      <c r="AH37" s="739">
        <f>'Prezzi e Ricavi'!$D$11*(1+AH36)*AH18</f>
        <v>0</v>
      </c>
      <c r="AI37" s="740">
        <f>SUM(D37:AH37)</f>
        <v>0</v>
      </c>
      <c r="AJ37" s="723"/>
      <c r="AK37" s="723"/>
    </row>
    <row r="38" spans="1:37" s="724" customFormat="1" ht="12" x14ac:dyDescent="0.25">
      <c r="A38" s="722"/>
      <c r="B38" s="724" t="s">
        <v>232</v>
      </c>
      <c r="C38" s="723" t="s">
        <v>220</v>
      </c>
      <c r="D38" s="739">
        <f>'Prezzi e Ricavi'!$D$15*D18</f>
        <v>0</v>
      </c>
      <c r="E38" s="739">
        <f>'Prezzi e Ricavi'!$D$15*E18</f>
        <v>0</v>
      </c>
      <c r="F38" s="739">
        <f>'Prezzi e Ricavi'!$D$15*F18</f>
        <v>0</v>
      </c>
      <c r="G38" s="739">
        <f>'Prezzi e Ricavi'!$D$15*G18</f>
        <v>0</v>
      </c>
      <c r="H38" s="739">
        <f>'Prezzi e Ricavi'!$D$15*H18</f>
        <v>0</v>
      </c>
      <c r="I38" s="739">
        <f>'Prezzi e Ricavi'!$D$15*I18</f>
        <v>0</v>
      </c>
      <c r="J38" s="739">
        <f>'Prezzi e Ricavi'!$D$15*J18</f>
        <v>0</v>
      </c>
      <c r="K38" s="739">
        <f>'Prezzi e Ricavi'!$D$15*K18</f>
        <v>0</v>
      </c>
      <c r="L38" s="739">
        <f>'Prezzi e Ricavi'!$D$15*L18</f>
        <v>0</v>
      </c>
      <c r="M38" s="739">
        <f>'Prezzi e Ricavi'!$D$15*M18</f>
        <v>0</v>
      </c>
      <c r="N38" s="739">
        <f>'Prezzi e Ricavi'!$D$15*N18</f>
        <v>0</v>
      </c>
      <c r="O38" s="739">
        <f>'Prezzi e Ricavi'!$D$15*O18</f>
        <v>0</v>
      </c>
      <c r="P38" s="739">
        <f>'Prezzi e Ricavi'!$D$15*P18</f>
        <v>0</v>
      </c>
      <c r="Q38" s="739">
        <f>'Prezzi e Ricavi'!$D$15*Q18</f>
        <v>0</v>
      </c>
      <c r="R38" s="739">
        <f>'Prezzi e Ricavi'!$D$15*R18</f>
        <v>0</v>
      </c>
      <c r="S38" s="739">
        <f>'Prezzi e Ricavi'!$D$15*S18</f>
        <v>0</v>
      </c>
      <c r="T38" s="739">
        <f>'Prezzi e Ricavi'!$D$15*T18</f>
        <v>0</v>
      </c>
      <c r="U38" s="739">
        <f>'Prezzi e Ricavi'!$D$15*U18</f>
        <v>0</v>
      </c>
      <c r="V38" s="739">
        <f>'Prezzi e Ricavi'!$D$15*V18</f>
        <v>0</v>
      </c>
      <c r="W38" s="739">
        <f>'Prezzi e Ricavi'!$D$15*W18</f>
        <v>0</v>
      </c>
      <c r="X38" s="739">
        <f>'Prezzi e Ricavi'!$D$15*X18</f>
        <v>0</v>
      </c>
      <c r="Y38" s="739">
        <f>'Prezzi e Ricavi'!$D$15*Y18</f>
        <v>0</v>
      </c>
      <c r="Z38" s="739">
        <f>'Prezzi e Ricavi'!$D$15*Z18</f>
        <v>0</v>
      </c>
      <c r="AA38" s="739">
        <f>'Prezzi e Ricavi'!$D$15*AA18</f>
        <v>0</v>
      </c>
      <c r="AB38" s="739">
        <f>'Prezzi e Ricavi'!$D$15*AB18</f>
        <v>0</v>
      </c>
      <c r="AC38" s="739">
        <f>'Prezzi e Ricavi'!$D$15*AC18</f>
        <v>0</v>
      </c>
      <c r="AD38" s="739">
        <f>'Prezzi e Ricavi'!$D$15*AD18</f>
        <v>0</v>
      </c>
      <c r="AE38" s="739">
        <f>'Prezzi e Ricavi'!$D$15*AE18</f>
        <v>0</v>
      </c>
      <c r="AF38" s="739">
        <f>'Prezzi e Ricavi'!$D$15*AF18</f>
        <v>0</v>
      </c>
      <c r="AG38" s="739">
        <f>'Prezzi e Ricavi'!$D$15*AG18</f>
        <v>0</v>
      </c>
      <c r="AH38" s="739">
        <f>'Prezzi e Ricavi'!$D$15*AH18</f>
        <v>0</v>
      </c>
      <c r="AI38" s="740">
        <f>SUM(D38:AH38)</f>
        <v>0</v>
      </c>
      <c r="AJ38" s="723"/>
      <c r="AK38" s="723"/>
    </row>
    <row r="39" spans="1:37" s="724" customFormat="1" ht="12" x14ac:dyDescent="0.25">
      <c r="A39" s="729" t="s">
        <v>341</v>
      </c>
      <c r="B39" s="723" t="s">
        <v>580</v>
      </c>
      <c r="C39" s="765" t="s">
        <v>2</v>
      </c>
      <c r="D39" s="766"/>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2">
        <v>0</v>
      </c>
      <c r="U39" s="162">
        <v>0</v>
      </c>
      <c r="V39" s="162">
        <v>0</v>
      </c>
      <c r="W39" s="162">
        <v>0</v>
      </c>
      <c r="X39" s="162">
        <v>0</v>
      </c>
      <c r="Y39" s="162">
        <v>0</v>
      </c>
      <c r="Z39" s="162">
        <v>0</v>
      </c>
      <c r="AA39" s="162">
        <v>0</v>
      </c>
      <c r="AB39" s="162">
        <v>0</v>
      </c>
      <c r="AC39" s="162">
        <v>0</v>
      </c>
      <c r="AD39" s="162">
        <v>0</v>
      </c>
      <c r="AE39" s="162">
        <v>0</v>
      </c>
      <c r="AF39" s="162">
        <v>0</v>
      </c>
      <c r="AG39" s="162">
        <v>0</v>
      </c>
      <c r="AH39" s="162">
        <v>0</v>
      </c>
      <c r="AI39" s="740"/>
      <c r="AJ39" s="723"/>
    </row>
    <row r="40" spans="1:37" s="724" customFormat="1" ht="12" x14ac:dyDescent="0.25">
      <c r="A40" s="729" t="s">
        <v>342</v>
      </c>
      <c r="B40" s="724" t="s">
        <v>465</v>
      </c>
      <c r="C40" s="728" t="s">
        <v>220</v>
      </c>
      <c r="D40" s="739">
        <f>'Prezzi e Ricavi'!$D$12*D18</f>
        <v>0</v>
      </c>
      <c r="E40" s="739">
        <f>'Prezzi e Ricavi'!$D$12*(1+E39)*E18</f>
        <v>0</v>
      </c>
      <c r="F40" s="739">
        <f>'Prezzi e Ricavi'!$D$12*(1+F39)*F18</f>
        <v>0</v>
      </c>
      <c r="G40" s="739">
        <f>'Prezzi e Ricavi'!$D$12*(1+G39)*G18</f>
        <v>0</v>
      </c>
      <c r="H40" s="739">
        <f>'Prezzi e Ricavi'!$D$12*(1+H39)*H18</f>
        <v>0</v>
      </c>
      <c r="I40" s="739">
        <f>'Prezzi e Ricavi'!$D$12*(1+I39)*I18</f>
        <v>0</v>
      </c>
      <c r="J40" s="739">
        <f>'Prezzi e Ricavi'!$D$12*(1+J39)*J18</f>
        <v>0</v>
      </c>
      <c r="K40" s="739">
        <f>'Prezzi e Ricavi'!$D$12*(1+K39)*K18</f>
        <v>0</v>
      </c>
      <c r="L40" s="739">
        <f>'Prezzi e Ricavi'!$D$12*(1+L39)*L18</f>
        <v>0</v>
      </c>
      <c r="M40" s="739">
        <f>'Prezzi e Ricavi'!$D$12*(1+M39)*M18</f>
        <v>0</v>
      </c>
      <c r="N40" s="739">
        <f>'Prezzi e Ricavi'!$D$12*(1+N39)*N18</f>
        <v>0</v>
      </c>
      <c r="O40" s="739">
        <f>'Prezzi e Ricavi'!$D$12*(1+O39)*O18</f>
        <v>0</v>
      </c>
      <c r="P40" s="739">
        <f>'Prezzi e Ricavi'!$D$12*(1+P39)*P18</f>
        <v>0</v>
      </c>
      <c r="Q40" s="739">
        <f>'Prezzi e Ricavi'!$D$12*(1+Q39)*Q18</f>
        <v>0</v>
      </c>
      <c r="R40" s="739">
        <f>'Prezzi e Ricavi'!$D$12*(1+R39)*R18</f>
        <v>0</v>
      </c>
      <c r="S40" s="739">
        <f>'Prezzi e Ricavi'!$D$12*(1+S39)*S18</f>
        <v>0</v>
      </c>
      <c r="T40" s="739">
        <f>'Prezzi e Ricavi'!$D$12*(1+T39)*T18</f>
        <v>0</v>
      </c>
      <c r="U40" s="739">
        <f>'Prezzi e Ricavi'!$D$12*(1+U39)*U18</f>
        <v>0</v>
      </c>
      <c r="V40" s="739">
        <f>'Prezzi e Ricavi'!$D$12*(1+V39)*V18</f>
        <v>0</v>
      </c>
      <c r="W40" s="739">
        <f>'Prezzi e Ricavi'!$D$12*(1+W39)*W18</f>
        <v>0</v>
      </c>
      <c r="X40" s="739">
        <f>'Prezzi e Ricavi'!$D$12*(1+X39)*X18</f>
        <v>0</v>
      </c>
      <c r="Y40" s="739">
        <f>'Prezzi e Ricavi'!$D$12*(1+Y39)*Y18</f>
        <v>0</v>
      </c>
      <c r="Z40" s="739">
        <f>'Prezzi e Ricavi'!$D$12*(1+Z39)*Z18</f>
        <v>0</v>
      </c>
      <c r="AA40" s="739">
        <f>'Prezzi e Ricavi'!$D$12*(1+AA39)*AA18</f>
        <v>0</v>
      </c>
      <c r="AB40" s="739">
        <f>'Prezzi e Ricavi'!$D$12*(1+AB39)*AB18</f>
        <v>0</v>
      </c>
      <c r="AC40" s="739">
        <f>'Prezzi e Ricavi'!$D$12*(1+AC39)*AC18</f>
        <v>0</v>
      </c>
      <c r="AD40" s="739">
        <f>'Prezzi e Ricavi'!$D$12*(1+AD39)*AD18</f>
        <v>0</v>
      </c>
      <c r="AE40" s="739">
        <f>'Prezzi e Ricavi'!$D$12*(1+AE39)*AE18</f>
        <v>0</v>
      </c>
      <c r="AF40" s="739">
        <f>'Prezzi e Ricavi'!$D$12*(1+AF39)*AF18</f>
        <v>0</v>
      </c>
      <c r="AG40" s="739">
        <f>'Prezzi e Ricavi'!$D$12*(1+AG39)*AG18</f>
        <v>0</v>
      </c>
      <c r="AH40" s="739">
        <f>'Prezzi e Ricavi'!$D$12*(1+AH39)*AH18</f>
        <v>0</v>
      </c>
      <c r="AI40" s="740">
        <f>SUM(D40:AH40)</f>
        <v>0</v>
      </c>
      <c r="AJ40" s="723"/>
    </row>
    <row r="41" spans="1:37" s="724" customFormat="1" ht="12" x14ac:dyDescent="0.25">
      <c r="A41" s="729" t="s">
        <v>343</v>
      </c>
      <c r="B41" s="767" t="s">
        <v>223</v>
      </c>
      <c r="C41" s="767" t="s">
        <v>220</v>
      </c>
      <c r="D41" s="739">
        <f>Incentivi!F16</f>
        <v>0</v>
      </c>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40">
        <f>SUM(D41:AH41)</f>
        <v>0</v>
      </c>
      <c r="AJ41" s="723"/>
    </row>
    <row r="42" spans="1:37" s="724" customFormat="1" ht="12" x14ac:dyDescent="0.25">
      <c r="A42" s="722"/>
      <c r="B42" s="757" t="s">
        <v>224</v>
      </c>
      <c r="C42" s="757" t="s">
        <v>220</v>
      </c>
      <c r="D42" s="758">
        <f>D35+D37+D38+D40+D41</f>
        <v>0</v>
      </c>
      <c r="E42" s="758">
        <f t="shared" ref="E42:AG42" si="12">E35+E37+E38+E40+E41</f>
        <v>0</v>
      </c>
      <c r="F42" s="758">
        <f t="shared" si="12"/>
        <v>0</v>
      </c>
      <c r="G42" s="758">
        <f t="shared" si="12"/>
        <v>0</v>
      </c>
      <c r="H42" s="758">
        <f t="shared" si="12"/>
        <v>0</v>
      </c>
      <c r="I42" s="758">
        <f t="shared" si="12"/>
        <v>0</v>
      </c>
      <c r="J42" s="758">
        <f t="shared" si="12"/>
        <v>0</v>
      </c>
      <c r="K42" s="758">
        <f t="shared" si="12"/>
        <v>0</v>
      </c>
      <c r="L42" s="758">
        <f t="shared" si="12"/>
        <v>0</v>
      </c>
      <c r="M42" s="758">
        <f t="shared" si="12"/>
        <v>0</v>
      </c>
      <c r="N42" s="758">
        <f t="shared" si="12"/>
        <v>0</v>
      </c>
      <c r="O42" s="758">
        <f t="shared" si="12"/>
        <v>0</v>
      </c>
      <c r="P42" s="758">
        <f t="shared" si="12"/>
        <v>0</v>
      </c>
      <c r="Q42" s="758">
        <f t="shared" si="12"/>
        <v>0</v>
      </c>
      <c r="R42" s="758">
        <f t="shared" si="12"/>
        <v>0</v>
      </c>
      <c r="S42" s="758">
        <f t="shared" si="12"/>
        <v>0</v>
      </c>
      <c r="T42" s="758">
        <f t="shared" si="12"/>
        <v>0</v>
      </c>
      <c r="U42" s="758">
        <f t="shared" si="12"/>
        <v>0</v>
      </c>
      <c r="V42" s="758">
        <f t="shared" si="12"/>
        <v>0</v>
      </c>
      <c r="W42" s="758">
        <f t="shared" si="12"/>
        <v>0</v>
      </c>
      <c r="X42" s="758">
        <f t="shared" si="12"/>
        <v>0</v>
      </c>
      <c r="Y42" s="758">
        <f t="shared" si="12"/>
        <v>0</v>
      </c>
      <c r="Z42" s="758">
        <f t="shared" si="12"/>
        <v>0</v>
      </c>
      <c r="AA42" s="758">
        <f t="shared" si="12"/>
        <v>0</v>
      </c>
      <c r="AB42" s="758">
        <f t="shared" si="12"/>
        <v>0</v>
      </c>
      <c r="AC42" s="758">
        <f t="shared" si="12"/>
        <v>0</v>
      </c>
      <c r="AD42" s="758">
        <f t="shared" si="12"/>
        <v>0</v>
      </c>
      <c r="AE42" s="758">
        <f t="shared" si="12"/>
        <v>0</v>
      </c>
      <c r="AF42" s="758">
        <f t="shared" si="12"/>
        <v>0</v>
      </c>
      <c r="AG42" s="758">
        <f t="shared" si="12"/>
        <v>0</v>
      </c>
      <c r="AH42" s="758">
        <f>AH35+AH37+AH38+AH40+AH41+D28</f>
        <v>0</v>
      </c>
      <c r="AI42" s="758">
        <f t="shared" ref="AI42" si="13">SUM(AI35:AI41)</f>
        <v>0</v>
      </c>
      <c r="AJ42" s="723"/>
    </row>
    <row r="43" spans="1:37" s="764" customFormat="1" ht="12" x14ac:dyDescent="0.25">
      <c r="A43" s="761"/>
      <c r="B43" s="762"/>
      <c r="C43" s="762"/>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23"/>
    </row>
    <row r="44" spans="1:37" s="724" customFormat="1" ht="12" x14ac:dyDescent="0.25">
      <c r="A44" s="722"/>
      <c r="B44" s="768" t="s">
        <v>233</v>
      </c>
      <c r="C44" s="735" t="s">
        <v>248</v>
      </c>
      <c r="D44" s="735">
        <v>0</v>
      </c>
      <c r="E44" s="735">
        <f>D44+1</f>
        <v>1</v>
      </c>
      <c r="F44" s="735">
        <f t="shared" ref="F44" si="14">E44+1</f>
        <v>2</v>
      </c>
      <c r="G44" s="735">
        <f t="shared" ref="G44" si="15">F44+1</f>
        <v>3</v>
      </c>
      <c r="H44" s="735">
        <f t="shared" ref="H44" si="16">G44+1</f>
        <v>4</v>
      </c>
      <c r="I44" s="735">
        <f t="shared" ref="I44" si="17">H44+1</f>
        <v>5</v>
      </c>
      <c r="J44" s="735">
        <f t="shared" ref="J44" si="18">I44+1</f>
        <v>6</v>
      </c>
      <c r="K44" s="735">
        <f t="shared" ref="K44" si="19">J44+1</f>
        <v>7</v>
      </c>
      <c r="L44" s="735">
        <f t="shared" ref="L44" si="20">K44+1</f>
        <v>8</v>
      </c>
      <c r="M44" s="735">
        <f t="shared" ref="M44" si="21">L44+1</f>
        <v>9</v>
      </c>
      <c r="N44" s="735">
        <f t="shared" ref="N44" si="22">M44+1</f>
        <v>10</v>
      </c>
      <c r="O44" s="735">
        <f t="shared" ref="O44" si="23">N44+1</f>
        <v>11</v>
      </c>
      <c r="P44" s="735">
        <f t="shared" ref="P44" si="24">O44+1</f>
        <v>12</v>
      </c>
      <c r="Q44" s="735">
        <f t="shared" ref="Q44" si="25">P44+1</f>
        <v>13</v>
      </c>
      <c r="R44" s="735">
        <f t="shared" ref="R44" si="26">Q44+1</f>
        <v>14</v>
      </c>
      <c r="S44" s="735">
        <f t="shared" ref="S44" si="27">R44+1</f>
        <v>15</v>
      </c>
      <c r="T44" s="735">
        <f t="shared" ref="T44" si="28">S44+1</f>
        <v>16</v>
      </c>
      <c r="U44" s="735">
        <f t="shared" ref="U44" si="29">T44+1</f>
        <v>17</v>
      </c>
      <c r="V44" s="735">
        <f t="shared" ref="V44" si="30">U44+1</f>
        <v>18</v>
      </c>
      <c r="W44" s="735">
        <f t="shared" ref="W44" si="31">V44+1</f>
        <v>19</v>
      </c>
      <c r="X44" s="735">
        <f t="shared" ref="X44" si="32">W44+1</f>
        <v>20</v>
      </c>
      <c r="Y44" s="735">
        <f t="shared" ref="Y44" si="33">X44+1</f>
        <v>21</v>
      </c>
      <c r="Z44" s="735">
        <f t="shared" ref="Z44" si="34">Y44+1</f>
        <v>22</v>
      </c>
      <c r="AA44" s="735">
        <f t="shared" ref="AA44" si="35">Z44+1</f>
        <v>23</v>
      </c>
      <c r="AB44" s="735">
        <f t="shared" ref="AB44" si="36">AA44+1</f>
        <v>24</v>
      </c>
      <c r="AC44" s="735">
        <f t="shared" ref="AC44" si="37">AB44+1</f>
        <v>25</v>
      </c>
      <c r="AD44" s="735">
        <f t="shared" ref="AD44" si="38">AC44+1</f>
        <v>26</v>
      </c>
      <c r="AE44" s="735">
        <f t="shared" ref="AE44" si="39">AD44+1</f>
        <v>27</v>
      </c>
      <c r="AF44" s="735">
        <f t="shared" ref="AF44" si="40">AE44+1</f>
        <v>28</v>
      </c>
      <c r="AG44" s="735">
        <f t="shared" ref="AG44" si="41">AF44+1</f>
        <v>29</v>
      </c>
      <c r="AH44" s="735">
        <f t="shared" ref="AH44" si="42">AG44+1</f>
        <v>30</v>
      </c>
      <c r="AI44" s="735"/>
      <c r="AJ44" s="723"/>
    </row>
    <row r="45" spans="1:37" s="724" customFormat="1" ht="12" x14ac:dyDescent="0.25">
      <c r="A45" s="729" t="s">
        <v>344</v>
      </c>
      <c r="B45" s="728" t="s">
        <v>238</v>
      </c>
      <c r="C45" s="723" t="s">
        <v>220</v>
      </c>
      <c r="D45" s="743">
        <f>D42-D31-D41</f>
        <v>0</v>
      </c>
      <c r="E45" s="743">
        <f>E42-E31</f>
        <v>0</v>
      </c>
      <c r="F45" s="743">
        <f t="shared" ref="F45:AH45" si="43">F42-F31</f>
        <v>0</v>
      </c>
      <c r="G45" s="743">
        <f t="shared" si="43"/>
        <v>0</v>
      </c>
      <c r="H45" s="743">
        <f t="shared" si="43"/>
        <v>0</v>
      </c>
      <c r="I45" s="743">
        <f t="shared" si="43"/>
        <v>0</v>
      </c>
      <c r="J45" s="743">
        <f t="shared" si="43"/>
        <v>0</v>
      </c>
      <c r="K45" s="743">
        <f t="shared" si="43"/>
        <v>0</v>
      </c>
      <c r="L45" s="743">
        <f t="shared" si="43"/>
        <v>0</v>
      </c>
      <c r="M45" s="743">
        <f t="shared" si="43"/>
        <v>0</v>
      </c>
      <c r="N45" s="743">
        <f t="shared" si="43"/>
        <v>0</v>
      </c>
      <c r="O45" s="743">
        <f t="shared" si="43"/>
        <v>0</v>
      </c>
      <c r="P45" s="743">
        <f t="shared" si="43"/>
        <v>0</v>
      </c>
      <c r="Q45" s="743">
        <f t="shared" si="43"/>
        <v>0</v>
      </c>
      <c r="R45" s="743">
        <f t="shared" si="43"/>
        <v>0</v>
      </c>
      <c r="S45" s="743">
        <f t="shared" si="43"/>
        <v>0</v>
      </c>
      <c r="T45" s="743">
        <f t="shared" si="43"/>
        <v>0</v>
      </c>
      <c r="U45" s="743">
        <f t="shared" si="43"/>
        <v>0</v>
      </c>
      <c r="V45" s="743">
        <f t="shared" si="43"/>
        <v>0</v>
      </c>
      <c r="W45" s="743">
        <f t="shared" si="43"/>
        <v>0</v>
      </c>
      <c r="X45" s="743">
        <f t="shared" si="43"/>
        <v>0</v>
      </c>
      <c r="Y45" s="743">
        <f t="shared" si="43"/>
        <v>0</v>
      </c>
      <c r="Z45" s="743">
        <f t="shared" si="43"/>
        <v>0</v>
      </c>
      <c r="AA45" s="743">
        <f t="shared" si="43"/>
        <v>0</v>
      </c>
      <c r="AB45" s="743">
        <f t="shared" si="43"/>
        <v>0</v>
      </c>
      <c r="AC45" s="743">
        <f t="shared" si="43"/>
        <v>0</v>
      </c>
      <c r="AD45" s="743">
        <f t="shared" si="43"/>
        <v>0</v>
      </c>
      <c r="AE45" s="743">
        <f t="shared" si="43"/>
        <v>0</v>
      </c>
      <c r="AF45" s="743">
        <f t="shared" si="43"/>
        <v>0</v>
      </c>
      <c r="AG45" s="743">
        <f t="shared" si="43"/>
        <v>0</v>
      </c>
      <c r="AH45" s="743">
        <f t="shared" si="43"/>
        <v>0</v>
      </c>
      <c r="AI45" s="740">
        <f>SUM(D45:AH45)</f>
        <v>0</v>
      </c>
      <c r="AJ45" s="723"/>
    </row>
    <row r="46" spans="1:37" s="724" customFormat="1" ht="12" x14ac:dyDescent="0.25">
      <c r="A46" s="729" t="s">
        <v>345</v>
      </c>
      <c r="B46" s="724" t="s">
        <v>225</v>
      </c>
      <c r="C46" s="723" t="s">
        <v>220</v>
      </c>
      <c r="D46" s="743">
        <f>D45/((1+$C$4)^D6)</f>
        <v>0</v>
      </c>
      <c r="E46" s="743">
        <f>E45/((1+$C$4)^E6)</f>
        <v>0</v>
      </c>
      <c r="F46" s="743">
        <f>F45/((1+$C$4)^F6)</f>
        <v>0</v>
      </c>
      <c r="G46" s="743">
        <f t="shared" ref="G46:AH46" si="44">G45/((1+$C$4)^G6)</f>
        <v>0</v>
      </c>
      <c r="H46" s="743">
        <f t="shared" si="44"/>
        <v>0</v>
      </c>
      <c r="I46" s="743">
        <f t="shared" si="44"/>
        <v>0</v>
      </c>
      <c r="J46" s="743">
        <f t="shared" si="44"/>
        <v>0</v>
      </c>
      <c r="K46" s="743">
        <f t="shared" si="44"/>
        <v>0</v>
      </c>
      <c r="L46" s="743">
        <f t="shared" si="44"/>
        <v>0</v>
      </c>
      <c r="M46" s="743">
        <f t="shared" si="44"/>
        <v>0</v>
      </c>
      <c r="N46" s="743">
        <f t="shared" si="44"/>
        <v>0</v>
      </c>
      <c r="O46" s="743">
        <f t="shared" si="44"/>
        <v>0</v>
      </c>
      <c r="P46" s="743">
        <f t="shared" si="44"/>
        <v>0</v>
      </c>
      <c r="Q46" s="743">
        <f t="shared" si="44"/>
        <v>0</v>
      </c>
      <c r="R46" s="743">
        <f t="shared" si="44"/>
        <v>0</v>
      </c>
      <c r="S46" s="743">
        <f t="shared" si="44"/>
        <v>0</v>
      </c>
      <c r="T46" s="743">
        <f t="shared" si="44"/>
        <v>0</v>
      </c>
      <c r="U46" s="743">
        <f t="shared" si="44"/>
        <v>0</v>
      </c>
      <c r="V46" s="743">
        <f t="shared" si="44"/>
        <v>0</v>
      </c>
      <c r="W46" s="743">
        <f t="shared" si="44"/>
        <v>0</v>
      </c>
      <c r="X46" s="743">
        <f t="shared" si="44"/>
        <v>0</v>
      </c>
      <c r="Y46" s="743">
        <f t="shared" si="44"/>
        <v>0</v>
      </c>
      <c r="Z46" s="743">
        <f t="shared" si="44"/>
        <v>0</v>
      </c>
      <c r="AA46" s="743">
        <f t="shared" si="44"/>
        <v>0</v>
      </c>
      <c r="AB46" s="743">
        <f t="shared" si="44"/>
        <v>0</v>
      </c>
      <c r="AC46" s="743">
        <f t="shared" si="44"/>
        <v>0</v>
      </c>
      <c r="AD46" s="743">
        <f t="shared" si="44"/>
        <v>0</v>
      </c>
      <c r="AE46" s="743">
        <f t="shared" si="44"/>
        <v>0</v>
      </c>
      <c r="AF46" s="743">
        <f t="shared" si="44"/>
        <v>0</v>
      </c>
      <c r="AG46" s="743">
        <f t="shared" si="44"/>
        <v>0</v>
      </c>
      <c r="AH46" s="743">
        <f t="shared" si="44"/>
        <v>0</v>
      </c>
      <c r="AI46" s="740">
        <f>SUM(D46:AH46)</f>
        <v>0</v>
      </c>
      <c r="AJ46" s="723"/>
    </row>
    <row r="47" spans="1:37" s="724" customFormat="1" ht="12" x14ac:dyDescent="0.25">
      <c r="A47" s="729" t="s">
        <v>346</v>
      </c>
      <c r="B47" s="769" t="s">
        <v>226</v>
      </c>
      <c r="C47" s="767" t="s">
        <v>221</v>
      </c>
      <c r="D47" s="743">
        <f>D46</f>
        <v>0</v>
      </c>
      <c r="E47" s="743">
        <f>D47+E46</f>
        <v>0</v>
      </c>
      <c r="F47" s="743">
        <f>E47+F46</f>
        <v>0</v>
      </c>
      <c r="G47" s="743">
        <f t="shared" ref="G47:X47" si="45">F47+G46</f>
        <v>0</v>
      </c>
      <c r="H47" s="743">
        <f t="shared" si="45"/>
        <v>0</v>
      </c>
      <c r="I47" s="743">
        <f t="shared" si="45"/>
        <v>0</v>
      </c>
      <c r="J47" s="743">
        <f t="shared" si="45"/>
        <v>0</v>
      </c>
      <c r="K47" s="743">
        <f t="shared" si="45"/>
        <v>0</v>
      </c>
      <c r="L47" s="743">
        <f t="shared" si="45"/>
        <v>0</v>
      </c>
      <c r="M47" s="743">
        <f t="shared" si="45"/>
        <v>0</v>
      </c>
      <c r="N47" s="743">
        <f t="shared" si="45"/>
        <v>0</v>
      </c>
      <c r="O47" s="743">
        <f t="shared" si="45"/>
        <v>0</v>
      </c>
      <c r="P47" s="743">
        <f t="shared" si="45"/>
        <v>0</v>
      </c>
      <c r="Q47" s="743">
        <f t="shared" si="45"/>
        <v>0</v>
      </c>
      <c r="R47" s="743">
        <f t="shared" si="45"/>
        <v>0</v>
      </c>
      <c r="S47" s="743">
        <f t="shared" si="45"/>
        <v>0</v>
      </c>
      <c r="T47" s="743">
        <f t="shared" si="45"/>
        <v>0</v>
      </c>
      <c r="U47" s="743">
        <f t="shared" si="45"/>
        <v>0</v>
      </c>
      <c r="V47" s="743">
        <f t="shared" si="45"/>
        <v>0</v>
      </c>
      <c r="W47" s="743">
        <f t="shared" si="45"/>
        <v>0</v>
      </c>
      <c r="X47" s="743">
        <f t="shared" si="45"/>
        <v>0</v>
      </c>
      <c r="Y47" s="743">
        <f t="shared" ref="Y47:AH47" si="46">X47+Y46</f>
        <v>0</v>
      </c>
      <c r="Z47" s="743">
        <f t="shared" si="46"/>
        <v>0</v>
      </c>
      <c r="AA47" s="743">
        <f t="shared" si="46"/>
        <v>0</v>
      </c>
      <c r="AB47" s="743">
        <f t="shared" si="46"/>
        <v>0</v>
      </c>
      <c r="AC47" s="743">
        <f t="shared" si="46"/>
        <v>0</v>
      </c>
      <c r="AD47" s="743">
        <f t="shared" si="46"/>
        <v>0</v>
      </c>
      <c r="AE47" s="743">
        <f t="shared" si="46"/>
        <v>0</v>
      </c>
      <c r="AF47" s="743">
        <f t="shared" si="46"/>
        <v>0</v>
      </c>
      <c r="AG47" s="743">
        <f t="shared" si="46"/>
        <v>0</v>
      </c>
      <c r="AH47" s="743">
        <f t="shared" si="46"/>
        <v>0</v>
      </c>
      <c r="AI47" s="740"/>
      <c r="AJ47" s="723"/>
    </row>
    <row r="48" spans="1:37" s="724" customFormat="1" ht="12" x14ac:dyDescent="0.25">
      <c r="A48" s="729" t="s">
        <v>347</v>
      </c>
      <c r="B48" s="770" t="s">
        <v>234</v>
      </c>
      <c r="C48" s="728" t="s">
        <v>221</v>
      </c>
      <c r="D48" s="771">
        <f>AI46</f>
        <v>0</v>
      </c>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c r="AF48" s="772"/>
      <c r="AG48" s="772"/>
      <c r="AH48" s="772"/>
      <c r="AI48" s="772"/>
      <c r="AJ48" s="723"/>
    </row>
    <row r="49" spans="1:36" s="724" customFormat="1" ht="12" x14ac:dyDescent="0.25">
      <c r="A49" s="729" t="s">
        <v>348</v>
      </c>
      <c r="B49" s="770" t="s">
        <v>26</v>
      </c>
      <c r="C49" s="724" t="s">
        <v>2</v>
      </c>
      <c r="D49" s="773" t="e">
        <f>IRR(D46:AH46)</f>
        <v>#NUM!</v>
      </c>
      <c r="E49" s="772"/>
      <c r="F49" s="772"/>
      <c r="G49" s="772"/>
      <c r="H49" s="772"/>
      <c r="I49" s="772"/>
      <c r="J49" s="772"/>
      <c r="K49" s="772"/>
      <c r="L49" s="772"/>
      <c r="M49" s="772"/>
      <c r="N49" s="772"/>
      <c r="O49" s="772"/>
      <c r="P49" s="772"/>
      <c r="Q49" s="772"/>
      <c r="R49" s="772"/>
      <c r="S49" s="772"/>
      <c r="T49" s="772"/>
      <c r="U49" s="772"/>
      <c r="V49" s="772"/>
      <c r="W49" s="772"/>
      <c r="X49" s="772"/>
      <c r="Y49" s="772"/>
      <c r="Z49" s="772"/>
      <c r="AA49" s="772"/>
      <c r="AB49" s="772"/>
      <c r="AC49" s="772"/>
      <c r="AD49" s="772"/>
      <c r="AE49" s="772"/>
      <c r="AF49" s="772"/>
      <c r="AG49" s="772"/>
      <c r="AH49" s="772"/>
      <c r="AI49" s="772"/>
      <c r="AJ49" s="723"/>
    </row>
    <row r="50" spans="1:36" s="724" customFormat="1" ht="12" x14ac:dyDescent="0.25">
      <c r="B50" s="723"/>
      <c r="C50" s="723"/>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23"/>
    </row>
    <row r="51" spans="1:36" s="727" customFormat="1" ht="12" x14ac:dyDescent="0.25">
      <c r="A51" s="729" t="s">
        <v>349</v>
      </c>
      <c r="B51" s="768" t="s">
        <v>236</v>
      </c>
      <c r="C51" s="735" t="s">
        <v>248</v>
      </c>
      <c r="D51" s="735">
        <v>0</v>
      </c>
      <c r="E51" s="735">
        <f>D51+1</f>
        <v>1</v>
      </c>
      <c r="F51" s="735">
        <f t="shared" ref="F51:X51" si="47">E51+1</f>
        <v>2</v>
      </c>
      <c r="G51" s="735">
        <f t="shared" si="47"/>
        <v>3</v>
      </c>
      <c r="H51" s="735">
        <f t="shared" si="47"/>
        <v>4</v>
      </c>
      <c r="I51" s="735">
        <f t="shared" si="47"/>
        <v>5</v>
      </c>
      <c r="J51" s="735">
        <f t="shared" si="47"/>
        <v>6</v>
      </c>
      <c r="K51" s="735">
        <f t="shared" si="47"/>
        <v>7</v>
      </c>
      <c r="L51" s="735">
        <f t="shared" si="47"/>
        <v>8</v>
      </c>
      <c r="M51" s="735">
        <f t="shared" si="47"/>
        <v>9</v>
      </c>
      <c r="N51" s="735">
        <f t="shared" si="47"/>
        <v>10</v>
      </c>
      <c r="O51" s="735">
        <f t="shared" si="47"/>
        <v>11</v>
      </c>
      <c r="P51" s="735">
        <f t="shared" si="47"/>
        <v>12</v>
      </c>
      <c r="Q51" s="735">
        <f t="shared" si="47"/>
        <v>13</v>
      </c>
      <c r="R51" s="735">
        <f t="shared" si="47"/>
        <v>14</v>
      </c>
      <c r="S51" s="735">
        <f t="shared" si="47"/>
        <v>15</v>
      </c>
      <c r="T51" s="735">
        <f t="shared" si="47"/>
        <v>16</v>
      </c>
      <c r="U51" s="735">
        <f t="shared" si="47"/>
        <v>17</v>
      </c>
      <c r="V51" s="735">
        <f t="shared" si="47"/>
        <v>18</v>
      </c>
      <c r="W51" s="735">
        <f t="shared" si="47"/>
        <v>19</v>
      </c>
      <c r="X51" s="735">
        <f t="shared" si="47"/>
        <v>20</v>
      </c>
      <c r="Y51" s="735">
        <f t="shared" ref="Y51:AH51" si="48">X51+1</f>
        <v>21</v>
      </c>
      <c r="Z51" s="735">
        <f t="shared" si="48"/>
        <v>22</v>
      </c>
      <c r="AA51" s="735">
        <f t="shared" si="48"/>
        <v>23</v>
      </c>
      <c r="AB51" s="735">
        <f t="shared" si="48"/>
        <v>24</v>
      </c>
      <c r="AC51" s="735">
        <f t="shared" si="48"/>
        <v>25</v>
      </c>
      <c r="AD51" s="735">
        <f t="shared" si="48"/>
        <v>26</v>
      </c>
      <c r="AE51" s="735">
        <f t="shared" si="48"/>
        <v>27</v>
      </c>
      <c r="AF51" s="735">
        <f t="shared" si="48"/>
        <v>28</v>
      </c>
      <c r="AG51" s="735">
        <f t="shared" si="48"/>
        <v>29</v>
      </c>
      <c r="AH51" s="735">
        <f t="shared" si="48"/>
        <v>30</v>
      </c>
      <c r="AI51" s="735"/>
      <c r="AJ51" s="723"/>
    </row>
    <row r="52" spans="1:36" s="724" customFormat="1" ht="12" x14ac:dyDescent="0.25">
      <c r="A52" s="722"/>
      <c r="B52" s="724" t="s">
        <v>241</v>
      </c>
      <c r="C52" s="723" t="s">
        <v>220</v>
      </c>
      <c r="D52" s="743">
        <f>D42-D31</f>
        <v>0</v>
      </c>
      <c r="E52" s="743">
        <f t="shared" ref="E52:X52" si="49">E42-E31</f>
        <v>0</v>
      </c>
      <c r="F52" s="743">
        <f t="shared" si="49"/>
        <v>0</v>
      </c>
      <c r="G52" s="743">
        <f t="shared" si="49"/>
        <v>0</v>
      </c>
      <c r="H52" s="743">
        <f t="shared" si="49"/>
        <v>0</v>
      </c>
      <c r="I52" s="743">
        <f t="shared" si="49"/>
        <v>0</v>
      </c>
      <c r="J52" s="743">
        <f t="shared" si="49"/>
        <v>0</v>
      </c>
      <c r="K52" s="743">
        <f t="shared" si="49"/>
        <v>0</v>
      </c>
      <c r="L52" s="743">
        <f t="shared" si="49"/>
        <v>0</v>
      </c>
      <c r="M52" s="743">
        <f t="shared" si="49"/>
        <v>0</v>
      </c>
      <c r="N52" s="743">
        <f t="shared" si="49"/>
        <v>0</v>
      </c>
      <c r="O52" s="743">
        <f t="shared" si="49"/>
        <v>0</v>
      </c>
      <c r="P52" s="743">
        <f t="shared" si="49"/>
        <v>0</v>
      </c>
      <c r="Q52" s="743">
        <f t="shared" si="49"/>
        <v>0</v>
      </c>
      <c r="R52" s="743">
        <f t="shared" si="49"/>
        <v>0</v>
      </c>
      <c r="S52" s="743">
        <f t="shared" si="49"/>
        <v>0</v>
      </c>
      <c r="T52" s="743">
        <f t="shared" si="49"/>
        <v>0</v>
      </c>
      <c r="U52" s="743">
        <f t="shared" si="49"/>
        <v>0</v>
      </c>
      <c r="V52" s="743">
        <f t="shared" si="49"/>
        <v>0</v>
      </c>
      <c r="W52" s="743">
        <f t="shared" si="49"/>
        <v>0</v>
      </c>
      <c r="X52" s="743">
        <f t="shared" si="49"/>
        <v>0</v>
      </c>
      <c r="Y52" s="743">
        <f t="shared" ref="Y52:AH52" si="50">Y42-Y31</f>
        <v>0</v>
      </c>
      <c r="Z52" s="743">
        <f t="shared" si="50"/>
        <v>0</v>
      </c>
      <c r="AA52" s="743">
        <f t="shared" si="50"/>
        <v>0</v>
      </c>
      <c r="AB52" s="743">
        <f t="shared" si="50"/>
        <v>0</v>
      </c>
      <c r="AC52" s="743">
        <f t="shared" si="50"/>
        <v>0</v>
      </c>
      <c r="AD52" s="743">
        <f t="shared" si="50"/>
        <v>0</v>
      </c>
      <c r="AE52" s="743">
        <f t="shared" si="50"/>
        <v>0</v>
      </c>
      <c r="AF52" s="743">
        <f t="shared" si="50"/>
        <v>0</v>
      </c>
      <c r="AG52" s="743">
        <f t="shared" si="50"/>
        <v>0</v>
      </c>
      <c r="AH52" s="743">
        <f t="shared" si="50"/>
        <v>0</v>
      </c>
      <c r="AI52" s="740">
        <f>SUM(D52:AH52)</f>
        <v>0</v>
      </c>
      <c r="AJ52" s="723"/>
    </row>
    <row r="53" spans="1:36" s="724" customFormat="1" ht="12" x14ac:dyDescent="0.25">
      <c r="A53" s="722"/>
      <c r="B53" s="724" t="s">
        <v>225</v>
      </c>
      <c r="C53" s="723" t="s">
        <v>220</v>
      </c>
      <c r="D53" s="743">
        <f>D52/((1+$C$4)^0)</f>
        <v>0</v>
      </c>
      <c r="E53" s="743">
        <f>E52/((1+$C$4)^1)</f>
        <v>0</v>
      </c>
      <c r="F53" s="743">
        <f>F52/((1+$C$4)^2)</f>
        <v>0</v>
      </c>
      <c r="G53" s="743">
        <f>G52/((1+$C$4)^3)</f>
        <v>0</v>
      </c>
      <c r="H53" s="743">
        <f>H52/((1+$C$4)^4)</f>
        <v>0</v>
      </c>
      <c r="I53" s="743">
        <f>I52/((1+$C$4)^5)</f>
        <v>0</v>
      </c>
      <c r="J53" s="743">
        <f>J52/((1+$C$4)^6)</f>
        <v>0</v>
      </c>
      <c r="K53" s="743">
        <f>K52/((1+$C$4)^7)</f>
        <v>0</v>
      </c>
      <c r="L53" s="743">
        <f>L52/((1+$C$4)^8)</f>
        <v>0</v>
      </c>
      <c r="M53" s="743">
        <f>M52/((1+$C$4)^9)</f>
        <v>0</v>
      </c>
      <c r="N53" s="743">
        <f>N52/((1+$C$4)^10)</f>
        <v>0</v>
      </c>
      <c r="O53" s="743">
        <f>O52/((1+$C$4)^11)</f>
        <v>0</v>
      </c>
      <c r="P53" s="743">
        <f>P52/((1+$C$4)^12)</f>
        <v>0</v>
      </c>
      <c r="Q53" s="743">
        <f>Q52/((1+$C$4)^13)</f>
        <v>0</v>
      </c>
      <c r="R53" s="743">
        <f>R52/((1+$C$4)^14)</f>
        <v>0</v>
      </c>
      <c r="S53" s="743">
        <f>S52/((1+$C$4)^15)</f>
        <v>0</v>
      </c>
      <c r="T53" s="743">
        <f>T52/((1+$C$4)^16)</f>
        <v>0</v>
      </c>
      <c r="U53" s="743">
        <f>U52/((1+$C$4)^17)</f>
        <v>0</v>
      </c>
      <c r="V53" s="743">
        <f>V52/((1+$C$4)^18)</f>
        <v>0</v>
      </c>
      <c r="W53" s="743">
        <f>W52/((1+$C$4)^19)</f>
        <v>0</v>
      </c>
      <c r="X53" s="743">
        <f t="shared" ref="X53:AH53" si="51">X52/((1+$C$4)^20)</f>
        <v>0</v>
      </c>
      <c r="Y53" s="743">
        <f t="shared" si="51"/>
        <v>0</v>
      </c>
      <c r="Z53" s="743">
        <f t="shared" si="51"/>
        <v>0</v>
      </c>
      <c r="AA53" s="743">
        <f t="shared" si="51"/>
        <v>0</v>
      </c>
      <c r="AB53" s="743">
        <f t="shared" si="51"/>
        <v>0</v>
      </c>
      <c r="AC53" s="743">
        <f t="shared" si="51"/>
        <v>0</v>
      </c>
      <c r="AD53" s="743">
        <f t="shared" si="51"/>
        <v>0</v>
      </c>
      <c r="AE53" s="743">
        <f t="shared" si="51"/>
        <v>0</v>
      </c>
      <c r="AF53" s="743">
        <f t="shared" si="51"/>
        <v>0</v>
      </c>
      <c r="AG53" s="743">
        <f t="shared" si="51"/>
        <v>0</v>
      </c>
      <c r="AH53" s="743">
        <f t="shared" si="51"/>
        <v>0</v>
      </c>
      <c r="AI53" s="740">
        <f>SUM(D53:AH53)</f>
        <v>0</v>
      </c>
      <c r="AJ53" s="723"/>
    </row>
    <row r="54" spans="1:36" s="724" customFormat="1" ht="12" x14ac:dyDescent="0.25">
      <c r="A54" s="722"/>
      <c r="B54" s="769" t="s">
        <v>226</v>
      </c>
      <c r="C54" s="767" t="s">
        <v>221</v>
      </c>
      <c r="D54" s="743">
        <f>D53</f>
        <v>0</v>
      </c>
      <c r="E54" s="743">
        <f>D54+E53</f>
        <v>0</v>
      </c>
      <c r="F54" s="743">
        <f t="shared" ref="F54:X54" si="52">E54+F53</f>
        <v>0</v>
      </c>
      <c r="G54" s="743">
        <f t="shared" si="52"/>
        <v>0</v>
      </c>
      <c r="H54" s="743">
        <f t="shared" si="52"/>
        <v>0</v>
      </c>
      <c r="I54" s="743">
        <f t="shared" si="52"/>
        <v>0</v>
      </c>
      <c r="J54" s="743">
        <f t="shared" si="52"/>
        <v>0</v>
      </c>
      <c r="K54" s="743">
        <f t="shared" si="52"/>
        <v>0</v>
      </c>
      <c r="L54" s="743">
        <f t="shared" si="52"/>
        <v>0</v>
      </c>
      <c r="M54" s="743">
        <f t="shared" si="52"/>
        <v>0</v>
      </c>
      <c r="N54" s="743">
        <f t="shared" si="52"/>
        <v>0</v>
      </c>
      <c r="O54" s="743">
        <f t="shared" si="52"/>
        <v>0</v>
      </c>
      <c r="P54" s="743">
        <f t="shared" si="52"/>
        <v>0</v>
      </c>
      <c r="Q54" s="743">
        <f>P54+Q53</f>
        <v>0</v>
      </c>
      <c r="R54" s="743">
        <f t="shared" si="52"/>
        <v>0</v>
      </c>
      <c r="S54" s="743">
        <f t="shared" si="52"/>
        <v>0</v>
      </c>
      <c r="T54" s="743">
        <f t="shared" si="52"/>
        <v>0</v>
      </c>
      <c r="U54" s="743">
        <f t="shared" si="52"/>
        <v>0</v>
      </c>
      <c r="V54" s="743">
        <f t="shared" si="52"/>
        <v>0</v>
      </c>
      <c r="W54" s="743">
        <f t="shared" si="52"/>
        <v>0</v>
      </c>
      <c r="X54" s="743">
        <f t="shared" si="52"/>
        <v>0</v>
      </c>
      <c r="Y54" s="743">
        <f t="shared" ref="Y54:AH54" si="53">X54+Y53</f>
        <v>0</v>
      </c>
      <c r="Z54" s="743">
        <f t="shared" si="53"/>
        <v>0</v>
      </c>
      <c r="AA54" s="743">
        <f t="shared" si="53"/>
        <v>0</v>
      </c>
      <c r="AB54" s="743">
        <f t="shared" si="53"/>
        <v>0</v>
      </c>
      <c r="AC54" s="743">
        <f t="shared" si="53"/>
        <v>0</v>
      </c>
      <c r="AD54" s="743">
        <f t="shared" si="53"/>
        <v>0</v>
      </c>
      <c r="AE54" s="743">
        <f t="shared" si="53"/>
        <v>0</v>
      </c>
      <c r="AF54" s="743">
        <f t="shared" si="53"/>
        <v>0</v>
      </c>
      <c r="AG54" s="743">
        <f t="shared" si="53"/>
        <v>0</v>
      </c>
      <c r="AH54" s="743">
        <f t="shared" si="53"/>
        <v>0</v>
      </c>
      <c r="AI54" s="740"/>
      <c r="AJ54" s="723"/>
    </row>
    <row r="55" spans="1:36" s="724" customFormat="1" ht="12" x14ac:dyDescent="0.25">
      <c r="A55" s="722"/>
      <c r="B55" s="770" t="s">
        <v>234</v>
      </c>
      <c r="C55" s="728" t="s">
        <v>221</v>
      </c>
      <c r="D55" s="771">
        <f>AI53</f>
        <v>0</v>
      </c>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23"/>
      <c r="AJ55" s="723"/>
    </row>
    <row r="56" spans="1:36" s="724" customFormat="1" ht="12" x14ac:dyDescent="0.25">
      <c r="A56" s="722"/>
      <c r="B56" s="748" t="s">
        <v>26</v>
      </c>
      <c r="C56" s="723" t="s">
        <v>2</v>
      </c>
      <c r="D56" s="775" t="e">
        <f>IRR(D53:AH53)</f>
        <v>#NUM!</v>
      </c>
      <c r="E56" s="723"/>
      <c r="F56" s="723"/>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row>
    <row r="57" spans="1:36" hidden="1" x14ac:dyDescent="0.25">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row>
    <row r="58" spans="1:36" hidden="1" x14ac:dyDescent="0.25">
      <c r="E58" s="777" t="s">
        <v>227</v>
      </c>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row>
    <row r="59" spans="1:36" hidden="1" x14ac:dyDescent="0.25">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row>
    <row r="60" spans="1:36" hidden="1" x14ac:dyDescent="0.25">
      <c r="E60" s="774">
        <v>0</v>
      </c>
      <c r="F60" s="774">
        <v>0</v>
      </c>
      <c r="G60" s="774">
        <v>0</v>
      </c>
      <c r="H60" s="774">
        <v>0</v>
      </c>
      <c r="I60" s="774">
        <v>0</v>
      </c>
      <c r="J60" s="774">
        <v>0</v>
      </c>
      <c r="K60" s="774">
        <v>0</v>
      </c>
      <c r="L60" s="774">
        <v>0</v>
      </c>
      <c r="M60" s="774">
        <v>0</v>
      </c>
      <c r="N60" s="774">
        <v>0</v>
      </c>
      <c r="O60" s="774">
        <v>0</v>
      </c>
      <c r="P60" s="774">
        <v>0</v>
      </c>
      <c r="Q60" s="774">
        <v>0</v>
      </c>
      <c r="R60" s="774">
        <v>0</v>
      </c>
      <c r="S60" s="774">
        <v>0</v>
      </c>
      <c r="T60" s="774">
        <v>0</v>
      </c>
      <c r="U60" s="774">
        <v>0</v>
      </c>
      <c r="V60" s="774">
        <v>0</v>
      </c>
      <c r="W60" s="774">
        <v>0</v>
      </c>
      <c r="X60" s="774">
        <v>0</v>
      </c>
      <c r="Y60" s="774"/>
      <c r="Z60" s="774"/>
      <c r="AA60" s="774"/>
      <c r="AB60" s="774"/>
      <c r="AC60" s="774"/>
      <c r="AD60" s="774"/>
      <c r="AE60" s="774"/>
      <c r="AF60" s="774"/>
      <c r="AG60" s="774"/>
      <c r="AH60" s="774"/>
      <c r="AI60" s="774"/>
      <c r="AJ60" s="774"/>
    </row>
    <row r="61" spans="1:36" hidden="1" x14ac:dyDescent="0.25">
      <c r="F61" s="774">
        <v>0</v>
      </c>
      <c r="G61" s="774">
        <v>0</v>
      </c>
      <c r="H61" s="774">
        <v>0</v>
      </c>
      <c r="I61" s="774">
        <v>0</v>
      </c>
      <c r="J61" s="774">
        <v>0</v>
      </c>
      <c r="K61" s="774">
        <v>0</v>
      </c>
      <c r="L61" s="774">
        <v>0</v>
      </c>
      <c r="M61" s="774">
        <v>0</v>
      </c>
      <c r="N61" s="774">
        <v>0</v>
      </c>
      <c r="O61" s="774">
        <v>0</v>
      </c>
      <c r="P61" s="774">
        <v>0</v>
      </c>
      <c r="Q61" s="774">
        <v>0</v>
      </c>
      <c r="R61" s="774">
        <v>0</v>
      </c>
      <c r="S61" s="774">
        <v>0</v>
      </c>
      <c r="T61" s="774">
        <v>0</v>
      </c>
      <c r="U61" s="774">
        <v>0</v>
      </c>
      <c r="V61" s="774">
        <v>0</v>
      </c>
      <c r="W61" s="774">
        <v>0</v>
      </c>
      <c r="X61" s="774">
        <v>0</v>
      </c>
      <c r="Y61" s="774"/>
      <c r="Z61" s="774"/>
      <c r="AA61" s="774"/>
      <c r="AB61" s="774"/>
      <c r="AC61" s="774"/>
      <c r="AD61" s="774"/>
      <c r="AE61" s="774"/>
      <c r="AF61" s="774"/>
      <c r="AG61" s="774"/>
      <c r="AH61" s="774"/>
      <c r="AI61" s="774"/>
      <c r="AJ61" s="774"/>
    </row>
    <row r="62" spans="1:36" hidden="1" x14ac:dyDescent="0.25">
      <c r="F62" s="778"/>
      <c r="G62" s="774">
        <v>0</v>
      </c>
      <c r="H62" s="774">
        <v>0</v>
      </c>
      <c r="I62" s="774">
        <v>0</v>
      </c>
      <c r="J62" s="774">
        <v>0</v>
      </c>
      <c r="K62" s="774">
        <v>0</v>
      </c>
      <c r="L62" s="774">
        <v>0</v>
      </c>
      <c r="M62" s="774">
        <v>0</v>
      </c>
      <c r="N62" s="774">
        <v>0</v>
      </c>
      <c r="O62" s="774">
        <v>0</v>
      </c>
      <c r="P62" s="774">
        <v>0</v>
      </c>
      <c r="Q62" s="774">
        <v>0</v>
      </c>
      <c r="R62" s="774">
        <v>0</v>
      </c>
      <c r="S62" s="774">
        <v>0</v>
      </c>
      <c r="T62" s="774">
        <v>0</v>
      </c>
      <c r="U62" s="774">
        <v>0</v>
      </c>
      <c r="V62" s="774">
        <v>0</v>
      </c>
      <c r="W62" s="774">
        <v>0</v>
      </c>
      <c r="X62" s="774">
        <v>0</v>
      </c>
      <c r="Y62" s="774"/>
      <c r="Z62" s="774"/>
      <c r="AA62" s="774"/>
      <c r="AB62" s="774"/>
      <c r="AC62" s="774"/>
      <c r="AD62" s="774"/>
      <c r="AE62" s="774"/>
      <c r="AF62" s="774"/>
      <c r="AG62" s="774"/>
      <c r="AH62" s="774"/>
      <c r="AI62" s="774"/>
      <c r="AJ62" s="774"/>
    </row>
    <row r="63" spans="1:36" hidden="1" x14ac:dyDescent="0.25">
      <c r="F63" s="778"/>
      <c r="G63" s="774"/>
      <c r="H63" s="774">
        <v>0</v>
      </c>
      <c r="I63" s="774">
        <v>0</v>
      </c>
      <c r="J63" s="774">
        <v>0</v>
      </c>
      <c r="K63" s="774">
        <v>0</v>
      </c>
      <c r="L63" s="774">
        <v>0</v>
      </c>
      <c r="M63" s="774">
        <v>0</v>
      </c>
      <c r="N63" s="774">
        <v>0</v>
      </c>
      <c r="O63" s="774">
        <v>0</v>
      </c>
      <c r="P63" s="774">
        <v>0</v>
      </c>
      <c r="Q63" s="774">
        <v>0</v>
      </c>
      <c r="R63" s="774">
        <v>0</v>
      </c>
      <c r="S63" s="774">
        <v>0</v>
      </c>
      <c r="T63" s="774">
        <v>0</v>
      </c>
      <c r="U63" s="774">
        <v>0</v>
      </c>
      <c r="V63" s="774">
        <v>0</v>
      </c>
      <c r="W63" s="774">
        <v>0</v>
      </c>
      <c r="X63" s="774">
        <v>0</v>
      </c>
      <c r="Y63" s="774"/>
      <c r="Z63" s="774"/>
      <c r="AA63" s="774"/>
      <c r="AB63" s="774"/>
      <c r="AC63" s="774"/>
      <c r="AD63" s="774"/>
      <c r="AE63" s="774"/>
      <c r="AF63" s="774"/>
      <c r="AG63" s="774"/>
      <c r="AH63" s="774"/>
      <c r="AI63" s="774"/>
      <c r="AJ63" s="774"/>
    </row>
    <row r="64" spans="1:36" hidden="1" x14ac:dyDescent="0.25">
      <c r="G64" s="774"/>
      <c r="H64" s="774"/>
      <c r="I64" s="774">
        <v>0</v>
      </c>
      <c r="J64" s="774">
        <v>0</v>
      </c>
      <c r="K64" s="774">
        <v>0</v>
      </c>
      <c r="L64" s="774">
        <v>0</v>
      </c>
      <c r="M64" s="774">
        <v>0</v>
      </c>
      <c r="N64" s="774">
        <v>0</v>
      </c>
      <c r="O64" s="774">
        <v>0</v>
      </c>
      <c r="P64" s="774">
        <v>0</v>
      </c>
      <c r="Q64" s="774">
        <v>0</v>
      </c>
      <c r="R64" s="774">
        <v>0</v>
      </c>
      <c r="S64" s="774">
        <v>0</v>
      </c>
      <c r="T64" s="774">
        <v>0</v>
      </c>
      <c r="U64" s="774">
        <v>0</v>
      </c>
      <c r="V64" s="774">
        <v>0</v>
      </c>
      <c r="W64" s="774">
        <v>0</v>
      </c>
      <c r="X64" s="774">
        <v>0</v>
      </c>
      <c r="Y64" s="774"/>
      <c r="Z64" s="774"/>
      <c r="AA64" s="774"/>
      <c r="AB64" s="774"/>
      <c r="AC64" s="774"/>
      <c r="AD64" s="774"/>
      <c r="AE64" s="774"/>
      <c r="AF64" s="774"/>
      <c r="AG64" s="774"/>
      <c r="AH64" s="774"/>
      <c r="AI64" s="774"/>
      <c r="AJ64" s="774"/>
    </row>
    <row r="65" spans="7:36" hidden="1" x14ac:dyDescent="0.25">
      <c r="G65" s="774"/>
      <c r="H65" s="774"/>
      <c r="I65" s="774"/>
      <c r="J65" s="774">
        <v>0</v>
      </c>
      <c r="K65" s="774">
        <v>0</v>
      </c>
      <c r="L65" s="774">
        <v>0</v>
      </c>
      <c r="M65" s="774">
        <v>0</v>
      </c>
      <c r="N65" s="774">
        <v>0</v>
      </c>
      <c r="O65" s="774">
        <v>0</v>
      </c>
      <c r="P65" s="774">
        <v>0</v>
      </c>
      <c r="Q65" s="774">
        <v>0</v>
      </c>
      <c r="R65" s="774">
        <v>0</v>
      </c>
      <c r="S65" s="774">
        <v>0</v>
      </c>
      <c r="T65" s="774">
        <v>0</v>
      </c>
      <c r="U65" s="774">
        <v>0</v>
      </c>
      <c r="V65" s="774">
        <v>0</v>
      </c>
      <c r="W65" s="774">
        <v>0</v>
      </c>
      <c r="X65" s="774">
        <v>0</v>
      </c>
      <c r="Y65" s="774"/>
      <c r="Z65" s="774"/>
      <c r="AA65" s="774"/>
      <c r="AB65" s="774"/>
      <c r="AC65" s="774"/>
      <c r="AD65" s="774"/>
      <c r="AE65" s="774"/>
      <c r="AF65" s="774"/>
      <c r="AG65" s="774"/>
      <c r="AH65" s="774"/>
      <c r="AI65" s="774"/>
      <c r="AJ65" s="774"/>
    </row>
    <row r="66" spans="7:36" hidden="1" x14ac:dyDescent="0.25">
      <c r="G66" s="774"/>
      <c r="H66" s="774"/>
      <c r="I66" s="774"/>
      <c r="J66" s="774"/>
      <c r="K66" s="774">
        <v>0</v>
      </c>
      <c r="L66" s="774">
        <v>0</v>
      </c>
      <c r="M66" s="774">
        <v>0</v>
      </c>
      <c r="N66" s="774">
        <v>0</v>
      </c>
      <c r="O66" s="774">
        <v>0</v>
      </c>
      <c r="P66" s="774">
        <v>0</v>
      </c>
      <c r="Q66" s="774">
        <v>0</v>
      </c>
      <c r="R66" s="774">
        <v>0</v>
      </c>
      <c r="S66" s="774">
        <v>0</v>
      </c>
      <c r="T66" s="774">
        <v>0</v>
      </c>
      <c r="U66" s="774">
        <v>0</v>
      </c>
      <c r="V66" s="774">
        <v>0</v>
      </c>
      <c r="W66" s="774">
        <v>0</v>
      </c>
      <c r="X66" s="774">
        <v>0</v>
      </c>
      <c r="Y66" s="774"/>
      <c r="Z66" s="774"/>
      <c r="AA66" s="774"/>
      <c r="AB66" s="774"/>
      <c r="AC66" s="774"/>
      <c r="AD66" s="774"/>
      <c r="AE66" s="774"/>
      <c r="AF66" s="774"/>
      <c r="AG66" s="774"/>
      <c r="AH66" s="774"/>
      <c r="AI66" s="774"/>
      <c r="AJ66" s="774"/>
    </row>
    <row r="67" spans="7:36" hidden="1" x14ac:dyDescent="0.25">
      <c r="G67" s="774"/>
      <c r="H67" s="774"/>
      <c r="I67" s="774"/>
      <c r="J67" s="774"/>
      <c r="K67" s="774"/>
      <c r="L67" s="774">
        <v>0</v>
      </c>
      <c r="M67" s="774">
        <v>0</v>
      </c>
      <c r="N67" s="774">
        <v>0</v>
      </c>
      <c r="O67" s="774">
        <v>0</v>
      </c>
      <c r="P67" s="774">
        <v>0</v>
      </c>
      <c r="Q67" s="774">
        <v>0</v>
      </c>
      <c r="R67" s="774">
        <v>0</v>
      </c>
      <c r="S67" s="774">
        <v>0</v>
      </c>
      <c r="T67" s="774">
        <v>0</v>
      </c>
      <c r="U67" s="774">
        <v>0</v>
      </c>
      <c r="V67" s="774">
        <v>0</v>
      </c>
      <c r="W67" s="774">
        <v>0</v>
      </c>
      <c r="X67" s="774">
        <v>0</v>
      </c>
      <c r="Y67" s="774"/>
      <c r="Z67" s="774"/>
      <c r="AA67" s="774"/>
      <c r="AB67" s="774"/>
      <c r="AC67" s="774"/>
      <c r="AD67" s="774"/>
      <c r="AE67" s="774"/>
      <c r="AF67" s="774"/>
      <c r="AG67" s="774"/>
      <c r="AH67" s="774"/>
      <c r="AI67" s="774"/>
      <c r="AJ67" s="774"/>
    </row>
    <row r="68" spans="7:36" hidden="1" x14ac:dyDescent="0.25">
      <c r="G68" s="774"/>
      <c r="H68" s="774"/>
      <c r="I68" s="774"/>
      <c r="J68" s="774"/>
      <c r="K68" s="774"/>
      <c r="L68" s="774"/>
      <c r="M68" s="774">
        <v>0</v>
      </c>
      <c r="N68" s="774">
        <v>0</v>
      </c>
      <c r="O68" s="774">
        <v>0</v>
      </c>
      <c r="P68" s="774">
        <v>0</v>
      </c>
      <c r="Q68" s="774">
        <v>0</v>
      </c>
      <c r="R68" s="774">
        <v>0</v>
      </c>
      <c r="S68" s="774">
        <v>0</v>
      </c>
      <c r="T68" s="774">
        <v>0</v>
      </c>
      <c r="U68" s="774">
        <v>0</v>
      </c>
      <c r="V68" s="774">
        <v>0</v>
      </c>
      <c r="W68" s="774">
        <v>0</v>
      </c>
      <c r="X68" s="774">
        <v>0</v>
      </c>
      <c r="Y68" s="774"/>
      <c r="Z68" s="774"/>
      <c r="AA68" s="774"/>
      <c r="AB68" s="774"/>
      <c r="AC68" s="774"/>
      <c r="AD68" s="774"/>
      <c r="AE68" s="774"/>
      <c r="AF68" s="774"/>
      <c r="AG68" s="774"/>
      <c r="AH68" s="774"/>
      <c r="AI68" s="774"/>
      <c r="AJ68" s="774"/>
    </row>
    <row r="69" spans="7:36" hidden="1" x14ac:dyDescent="0.25">
      <c r="N69" s="774">
        <v>0</v>
      </c>
      <c r="O69" s="774">
        <v>0</v>
      </c>
      <c r="P69" s="774">
        <v>0</v>
      </c>
      <c r="Q69" s="774">
        <v>0</v>
      </c>
      <c r="R69" s="774">
        <v>0</v>
      </c>
      <c r="S69" s="774">
        <v>0</v>
      </c>
      <c r="T69" s="774">
        <v>0</v>
      </c>
      <c r="U69" s="774">
        <v>0</v>
      </c>
      <c r="V69" s="774">
        <v>0</v>
      </c>
      <c r="W69" s="774">
        <v>0</v>
      </c>
      <c r="X69" s="774">
        <v>0</v>
      </c>
      <c r="Y69" s="774"/>
      <c r="Z69" s="774"/>
      <c r="AA69" s="774"/>
      <c r="AB69" s="774"/>
      <c r="AC69" s="774"/>
      <c r="AD69" s="774"/>
      <c r="AE69" s="774"/>
      <c r="AF69" s="774"/>
      <c r="AG69" s="774"/>
      <c r="AH69" s="774"/>
    </row>
    <row r="70" spans="7:36" hidden="1" x14ac:dyDescent="0.25">
      <c r="O70" s="774">
        <v>0</v>
      </c>
      <c r="P70" s="774">
        <v>0</v>
      </c>
      <c r="Q70" s="774">
        <v>0</v>
      </c>
      <c r="R70" s="774">
        <v>0</v>
      </c>
      <c r="S70" s="774">
        <v>0</v>
      </c>
      <c r="T70" s="774">
        <v>0</v>
      </c>
      <c r="U70" s="774">
        <v>0</v>
      </c>
      <c r="V70" s="774">
        <v>0</v>
      </c>
      <c r="W70" s="774">
        <v>0</v>
      </c>
      <c r="X70" s="774">
        <v>0</v>
      </c>
      <c r="Y70" s="774"/>
      <c r="Z70" s="774"/>
      <c r="AA70" s="774"/>
      <c r="AB70" s="774"/>
      <c r="AC70" s="774"/>
      <c r="AD70" s="774"/>
      <c r="AE70" s="774"/>
      <c r="AF70" s="774"/>
      <c r="AG70" s="774"/>
      <c r="AH70" s="774"/>
    </row>
    <row r="71" spans="7:36" hidden="1" x14ac:dyDescent="0.25">
      <c r="P71" s="774">
        <v>0</v>
      </c>
      <c r="Q71" s="774">
        <v>0</v>
      </c>
      <c r="R71" s="774">
        <v>0</v>
      </c>
      <c r="S71" s="774">
        <v>0</v>
      </c>
      <c r="T71" s="774">
        <v>0</v>
      </c>
      <c r="U71" s="774">
        <v>0</v>
      </c>
      <c r="V71" s="774">
        <v>0</v>
      </c>
      <c r="W71" s="774">
        <v>0</v>
      </c>
      <c r="X71" s="774">
        <v>0</v>
      </c>
      <c r="Y71" s="774"/>
      <c r="Z71" s="774"/>
      <c r="AA71" s="774"/>
      <c r="AB71" s="774"/>
      <c r="AC71" s="774"/>
      <c r="AD71" s="774"/>
      <c r="AE71" s="774"/>
      <c r="AF71" s="774"/>
      <c r="AG71" s="774"/>
      <c r="AH71" s="774"/>
    </row>
    <row r="72" spans="7:36" hidden="1" x14ac:dyDescent="0.25">
      <c r="Q72" s="774">
        <v>0</v>
      </c>
      <c r="R72" s="774">
        <v>0</v>
      </c>
      <c r="S72" s="774">
        <v>0</v>
      </c>
      <c r="T72" s="774">
        <v>0</v>
      </c>
      <c r="U72" s="774">
        <v>0</v>
      </c>
      <c r="V72" s="774">
        <v>0</v>
      </c>
      <c r="W72" s="774">
        <v>0</v>
      </c>
      <c r="X72" s="774">
        <v>0</v>
      </c>
      <c r="Y72" s="774"/>
      <c r="Z72" s="774"/>
      <c r="AA72" s="774"/>
      <c r="AB72" s="774"/>
      <c r="AC72" s="774"/>
      <c r="AD72" s="774"/>
      <c r="AE72" s="774"/>
      <c r="AF72" s="774"/>
      <c r="AG72" s="774"/>
      <c r="AH72" s="774"/>
    </row>
    <row r="73" spans="7:36" hidden="1" x14ac:dyDescent="0.25">
      <c r="R73" s="774">
        <v>0</v>
      </c>
      <c r="S73" s="774">
        <v>0</v>
      </c>
      <c r="T73" s="774">
        <v>0</v>
      </c>
      <c r="U73" s="774">
        <v>0</v>
      </c>
      <c r="V73" s="774">
        <v>0</v>
      </c>
      <c r="W73" s="774">
        <v>0</v>
      </c>
      <c r="X73" s="774">
        <v>0</v>
      </c>
      <c r="Y73" s="774"/>
      <c r="Z73" s="774"/>
      <c r="AA73" s="774"/>
      <c r="AB73" s="774"/>
      <c r="AC73" s="774"/>
      <c r="AD73" s="774"/>
      <c r="AE73" s="774"/>
      <c r="AF73" s="774"/>
      <c r="AG73" s="774"/>
      <c r="AH73" s="774"/>
    </row>
    <row r="74" spans="7:36" hidden="1" x14ac:dyDescent="0.25">
      <c r="S74" s="774">
        <v>0</v>
      </c>
      <c r="T74" s="774">
        <v>0</v>
      </c>
      <c r="U74" s="774">
        <v>0</v>
      </c>
      <c r="V74" s="774">
        <v>0</v>
      </c>
      <c r="W74" s="774">
        <v>0</v>
      </c>
      <c r="X74" s="774">
        <v>0</v>
      </c>
      <c r="Y74" s="774"/>
      <c r="Z74" s="774"/>
      <c r="AA74" s="774"/>
      <c r="AB74" s="774"/>
      <c r="AC74" s="774"/>
      <c r="AD74" s="774"/>
      <c r="AE74" s="774"/>
      <c r="AF74" s="774"/>
      <c r="AG74" s="774"/>
      <c r="AH74" s="774"/>
    </row>
    <row r="75" spans="7:36" hidden="1" x14ac:dyDescent="0.25">
      <c r="T75" s="774">
        <v>0</v>
      </c>
      <c r="U75" s="774">
        <v>0</v>
      </c>
      <c r="V75" s="774">
        <v>0</v>
      </c>
      <c r="W75" s="774">
        <v>0</v>
      </c>
      <c r="X75" s="774">
        <v>0</v>
      </c>
      <c r="Y75" s="774"/>
      <c r="Z75" s="774"/>
      <c r="AA75" s="774"/>
      <c r="AB75" s="774"/>
      <c r="AC75" s="774"/>
      <c r="AD75" s="774"/>
      <c r="AE75" s="774"/>
      <c r="AF75" s="774"/>
      <c r="AG75" s="774"/>
      <c r="AH75" s="774"/>
    </row>
    <row r="76" spans="7:36" hidden="1" x14ac:dyDescent="0.25">
      <c r="U76" s="774">
        <v>0</v>
      </c>
      <c r="V76" s="774">
        <v>0</v>
      </c>
      <c r="W76" s="774">
        <v>0</v>
      </c>
      <c r="X76" s="774">
        <v>0</v>
      </c>
      <c r="Y76" s="774"/>
      <c r="Z76" s="774"/>
      <c r="AA76" s="774"/>
      <c r="AB76" s="774"/>
      <c r="AC76" s="774"/>
      <c r="AD76" s="774"/>
      <c r="AE76" s="774"/>
      <c r="AF76" s="774"/>
      <c r="AG76" s="774"/>
      <c r="AH76" s="774"/>
    </row>
    <row r="77" spans="7:36" hidden="1" x14ac:dyDescent="0.25">
      <c r="V77" s="774">
        <v>0</v>
      </c>
      <c r="W77" s="774">
        <v>0</v>
      </c>
      <c r="X77" s="774">
        <v>0</v>
      </c>
      <c r="Y77" s="774"/>
      <c r="Z77" s="774"/>
      <c r="AA77" s="774"/>
      <c r="AB77" s="774"/>
      <c r="AC77" s="774"/>
      <c r="AD77" s="774"/>
      <c r="AE77" s="774"/>
      <c r="AF77" s="774"/>
      <c r="AG77" s="774"/>
      <c r="AH77" s="774"/>
    </row>
    <row r="78" spans="7:36" hidden="1" x14ac:dyDescent="0.25">
      <c r="W78" s="774">
        <v>0</v>
      </c>
      <c r="X78" s="774">
        <v>0</v>
      </c>
      <c r="Y78" s="774"/>
      <c r="Z78" s="774"/>
      <c r="AA78" s="774"/>
      <c r="AB78" s="774"/>
      <c r="AC78" s="774"/>
      <c r="AD78" s="774"/>
      <c r="AE78" s="774"/>
      <c r="AF78" s="774"/>
      <c r="AG78" s="774"/>
      <c r="AH78" s="774"/>
    </row>
    <row r="79" spans="7:36" hidden="1" x14ac:dyDescent="0.25">
      <c r="X79" s="774">
        <v>0</v>
      </c>
      <c r="Y79" s="774"/>
      <c r="Z79" s="774"/>
      <c r="AA79" s="774"/>
      <c r="AB79" s="774"/>
      <c r="AC79" s="774"/>
      <c r="AD79" s="774"/>
      <c r="AE79" s="774"/>
      <c r="AF79" s="774"/>
      <c r="AG79" s="774"/>
      <c r="AH79" s="774"/>
    </row>
    <row r="80" spans="7:36" hidden="1" x14ac:dyDescent="0.25"/>
    <row r="81" spans="35:35" hidden="1" x14ac:dyDescent="0.25"/>
    <row r="84" spans="35:35" x14ac:dyDescent="0.25">
      <c r="AI84" s="778"/>
    </row>
  </sheetData>
  <sheetProtection password="C632" sheet="1" objects="1" scenarios="1"/>
  <phoneticPr fontId="34" type="noConversion"/>
  <conditionalFormatting sqref="D11:AH14">
    <cfRule type="expression" dxfId="23" priority="35">
      <formula>D$3&gt;#REF!</formula>
    </cfRule>
    <cfRule type="expression" dxfId="22" priority="36">
      <formula>D$3&lt;#REF!</formula>
    </cfRule>
  </conditionalFormatting>
  <conditionalFormatting sqref="D16:AH18 D21:AH30">
    <cfRule type="expression" dxfId="21" priority="33">
      <formula>D$3&gt;#REF!</formula>
    </cfRule>
    <cfRule type="expression" dxfId="20" priority="34">
      <formula>D$3&lt;#REF!</formula>
    </cfRule>
  </conditionalFormatting>
  <conditionalFormatting sqref="D35:AH36 D41:AH41 D39:AH39">
    <cfRule type="expression" dxfId="19" priority="31">
      <formula>D$3&gt;#REF!</formula>
    </cfRule>
    <cfRule type="expression" dxfId="18" priority="32">
      <formula>D$3&lt;#REF!</formula>
    </cfRule>
  </conditionalFormatting>
  <conditionalFormatting sqref="D37:AH38">
    <cfRule type="expression" dxfId="17" priority="21">
      <formula>D$3&gt;#REF!</formula>
    </cfRule>
    <cfRule type="expression" dxfId="16" priority="22">
      <formula>D$3&lt;#REF!</formula>
    </cfRule>
  </conditionalFormatting>
  <conditionalFormatting sqref="D40:AH40">
    <cfRule type="expression" dxfId="15" priority="19">
      <formula>D$3&gt;#REF!</formula>
    </cfRule>
    <cfRule type="expression" dxfId="14" priority="20">
      <formula>D$3&lt;#REF!</formula>
    </cfRule>
  </conditionalFormatting>
  <conditionalFormatting sqref="E19:AH20">
    <cfRule type="expression" dxfId="13" priority="17">
      <formula>E$3&gt;#REF!</formula>
    </cfRule>
    <cfRule type="expression" dxfId="12" priority="18">
      <formula>E$3&lt;#REF!</formula>
    </cfRule>
  </conditionalFormatting>
  <conditionalFormatting sqref="D19:D20">
    <cfRule type="expression" dxfId="11" priority="15">
      <formula>D$3&gt;#REF!</formula>
    </cfRule>
    <cfRule type="expression" dxfId="10" priority="16">
      <formula>D$3&lt;#REF!</formula>
    </cfRule>
  </conditionalFormatting>
  <conditionalFormatting sqref="D9:D10">
    <cfRule type="expression" dxfId="9" priority="9">
      <formula>D$3&gt;#REF!</formula>
    </cfRule>
    <cfRule type="expression" dxfId="8" priority="10">
      <formula>D$3&lt;#REF!</formula>
    </cfRule>
  </conditionalFormatting>
  <conditionalFormatting sqref="D15">
    <cfRule type="expression" dxfId="7" priority="7">
      <formula>D$3&gt;#REF!</formula>
    </cfRule>
    <cfRule type="expression" dxfId="6" priority="8">
      <formula>D$3&lt;#REF!</formula>
    </cfRule>
  </conditionalFormatting>
  <conditionalFormatting sqref="E10:AH10">
    <cfRule type="expression" dxfId="5" priority="5">
      <formula>E$3&gt;#REF!</formula>
    </cfRule>
    <cfRule type="expression" dxfId="4" priority="6">
      <formula>E$3&lt;#REF!</formula>
    </cfRule>
  </conditionalFormatting>
  <conditionalFormatting sqref="E15:AH15">
    <cfRule type="expression" dxfId="3" priority="3">
      <formula>E$3&gt;#REF!</formula>
    </cfRule>
    <cfRule type="expression" dxfId="2" priority="4">
      <formula>E$3&lt;#REF!</formula>
    </cfRule>
  </conditionalFormatting>
  <conditionalFormatting sqref="E9:AH9">
    <cfRule type="expression" dxfId="1" priority="1">
      <formula>E$3&gt;#REF!</formula>
    </cfRule>
    <cfRule type="expression" dxfId="0" priority="2">
      <formula>E$3&lt;#REF!</formula>
    </cfRule>
  </conditionalFormatting>
  <hyperlinks>
    <hyperlink ref="A4" location="info!A152" display="P1"/>
    <hyperlink ref="A17" location="info!A156" display="P2"/>
    <hyperlink ref="A22" location="info!A158" display="P3"/>
    <hyperlink ref="A24" location="info!A162" display="P4"/>
    <hyperlink ref="A31" location="info!A164" display="P6"/>
    <hyperlink ref="A28" location="info!A162" display="P5"/>
    <hyperlink ref="A36" location="info!A167" display="P7"/>
    <hyperlink ref="A37" location="info!A169" display="P8"/>
    <hyperlink ref="A39" location="info!A171" display="P9"/>
    <hyperlink ref="A40" location="info!A173" display="P10"/>
    <hyperlink ref="A41" location="info!A175" display="P11"/>
    <hyperlink ref="A45" location="info!A178" display="P12"/>
    <hyperlink ref="A46" location="info!A180" display="P13"/>
    <hyperlink ref="A47" location="info!A182" display="P14"/>
    <hyperlink ref="A48" location="info!A184" display="P15"/>
    <hyperlink ref="A49" location="info!A186" display="P16"/>
    <hyperlink ref="A51" location="info!A189" display="P17"/>
  </hyperlinks>
  <pageMargins left="0.7" right="0.7" top="0.75" bottom="0.75" header="0.3" footer="0.3"/>
  <pageSetup paperSize="9" orientation="portrait" horizontalDpi="4294967295" verticalDpi="4294967295" r:id="rId1"/>
  <ignoredErrors>
    <ignoredError sqref="D22 D17:X17 E24:X24 D24 D27" unlockedFormula="1"/>
  </ignoredError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65"/>
  <sheetViews>
    <sheetView zoomScaleNormal="100" workbookViewId="0">
      <selection activeCell="E33" sqref="E33"/>
    </sheetView>
  </sheetViews>
  <sheetFormatPr defaultRowHeight="12.75" x14ac:dyDescent="0.2"/>
  <cols>
    <col min="1" max="1" width="2.42578125" style="794" customWidth="1"/>
    <col min="2" max="2" width="58.140625" style="794" bestFit="1" customWidth="1"/>
    <col min="3" max="3" width="10.140625" style="794" customWidth="1"/>
    <col min="4" max="4" width="12.140625" style="794" customWidth="1"/>
    <col min="5" max="5" width="9.140625" style="794"/>
    <col min="6" max="6" width="10.140625" style="794" bestFit="1" customWidth="1"/>
    <col min="7" max="7" width="10.28515625" style="794" bestFit="1" customWidth="1"/>
    <col min="8" max="8" width="9.140625" style="794"/>
    <col min="9" max="9" width="9.7109375" style="794" bestFit="1" customWidth="1"/>
    <col min="10" max="10" width="13.5703125" style="794" customWidth="1"/>
    <col min="11" max="11" width="14.42578125" style="794" customWidth="1"/>
    <col min="12" max="13" width="9.140625" style="794"/>
    <col min="14" max="14" width="8.5703125" style="794" customWidth="1"/>
    <col min="15" max="15" width="11.7109375" style="794" customWidth="1"/>
    <col min="16" max="16384" width="9.140625" style="794"/>
  </cols>
  <sheetData>
    <row r="2" spans="2:15" ht="13.5" thickBot="1" x14ac:dyDescent="0.25">
      <c r="B2" s="793" t="s">
        <v>354</v>
      </c>
      <c r="J2" s="793" t="s">
        <v>125</v>
      </c>
    </row>
    <row r="3" spans="2:15" ht="13.5" thickBot="1" x14ac:dyDescent="0.25">
      <c r="B3" s="795" t="str">
        <f>' Dati tecnici e stima domanda'!B16</f>
        <v>Fabbisogno totale calore utenti (domanda)</v>
      </c>
      <c r="C3" s="796" t="str">
        <f>' Dati tecnici e stima domanda'!C16</f>
        <v>kWh/a</v>
      </c>
      <c r="D3" s="797">
        <f>' Dati tecnici e stima domanda'!D16</f>
        <v>0</v>
      </c>
      <c r="E3" s="798"/>
      <c r="J3" s="799" t="s">
        <v>206</v>
      </c>
      <c r="K3" s="800"/>
      <c r="L3" s="800"/>
      <c r="M3" s="800"/>
      <c r="N3" s="801"/>
      <c r="O3" s="802" t="s">
        <v>361</v>
      </c>
    </row>
    <row r="4" spans="2:15" x14ac:dyDescent="0.2">
      <c r="B4" s="803" t="str">
        <f>' Dati tecnici e stima domanda'!B17</f>
        <v>Fabbisogno complessivo di potenza termica</v>
      </c>
      <c r="C4" s="804" t="str">
        <f>' Dati tecnici e stima domanda'!C17</f>
        <v>kW</v>
      </c>
      <c r="D4" s="805">
        <f>' Dati tecnici e stima domanda'!D17</f>
        <v>0</v>
      </c>
      <c r="E4" s="806"/>
      <c r="J4" s="913" t="s">
        <v>141</v>
      </c>
      <c r="K4" s="914"/>
      <c r="L4" s="807"/>
      <c r="M4" s="807"/>
      <c r="N4" s="807"/>
      <c r="O4" s="808">
        <f>Investimenti!D7</f>
        <v>0</v>
      </c>
    </row>
    <row r="5" spans="2:15" x14ac:dyDescent="0.2">
      <c r="B5" s="803" t="str">
        <f>' Dati tecnici e stima domanda'!B5</f>
        <v>Utenti da servire - totali</v>
      </c>
      <c r="C5" s="804" t="str">
        <f>' Dati tecnici e stima domanda'!C5</f>
        <v>nr.</v>
      </c>
      <c r="D5" s="805">
        <f>' Dati tecnici e stima domanda'!D5</f>
        <v>0</v>
      </c>
      <c r="E5" s="806"/>
      <c r="J5" s="923" t="s">
        <v>140</v>
      </c>
      <c r="K5" s="924"/>
      <c r="L5" s="924"/>
      <c r="M5" s="924"/>
      <c r="N5" s="925"/>
      <c r="O5" s="299">
        <f>Investimenti!D8</f>
        <v>0</v>
      </c>
    </row>
    <row r="6" spans="2:15" x14ac:dyDescent="0.2">
      <c r="B6" s="803" t="str">
        <f>' Dati tecnici e stima domanda'!B10</f>
        <v>Superficie di territorio analizzata</v>
      </c>
      <c r="C6" s="804" t="str">
        <f>' Dati tecnici e stima domanda'!C10</f>
        <v>m2</v>
      </c>
      <c r="D6" s="805">
        <f>' Dati tecnici e stima domanda'!D10</f>
        <v>0</v>
      </c>
      <c r="E6" s="806"/>
      <c r="J6" s="926"/>
      <c r="K6" s="897" t="str">
        <f>Investimenti!C9</f>
        <v>Opere civili</v>
      </c>
      <c r="L6" s="898"/>
      <c r="M6" s="898"/>
      <c r="N6" s="899"/>
      <c r="O6" s="640">
        <f>Investimenti!D9</f>
        <v>0</v>
      </c>
    </row>
    <row r="7" spans="2:15" x14ac:dyDescent="0.2">
      <c r="B7" s="809" t="str">
        <f>' Dati tecnici e stima domanda'!B13</f>
        <v>Lunghezza complessiva rete</v>
      </c>
      <c r="C7" s="810" t="str">
        <f>' Dati tecnici e stima domanda'!C13</f>
        <v>ml</v>
      </c>
      <c r="D7" s="811">
        <f>' Dati tecnici e stima domanda'!D13</f>
        <v>0</v>
      </c>
      <c r="E7" s="812"/>
      <c r="J7" s="927"/>
      <c r="K7" s="897" t="str">
        <f>Investimenti!C10</f>
        <v>Impianto elettrico</v>
      </c>
      <c r="L7" s="898"/>
      <c r="M7" s="898"/>
      <c r="N7" s="899"/>
      <c r="O7" s="640">
        <f>Investimenti!D10</f>
        <v>0</v>
      </c>
    </row>
    <row r="8" spans="2:15" x14ac:dyDescent="0.2">
      <c r="J8" s="927"/>
      <c r="K8" s="897" t="str">
        <f>Investimenti!C11</f>
        <v>Generatore di calore principale (no opere civili)</v>
      </c>
      <c r="L8" s="898"/>
      <c r="M8" s="898"/>
      <c r="N8" s="899"/>
      <c r="O8" s="640">
        <f>Investimenti!D11</f>
        <v>0</v>
      </c>
    </row>
    <row r="9" spans="2:15" x14ac:dyDescent="0.2">
      <c r="B9" s="793" t="s">
        <v>357</v>
      </c>
      <c r="J9" s="927"/>
      <c r="K9" s="897" t="str">
        <f>Investimenti!C12</f>
        <v>Generatore di calore secondario</v>
      </c>
      <c r="L9" s="898"/>
      <c r="M9" s="898"/>
      <c r="N9" s="899"/>
      <c r="O9" s="640">
        <f>Investimenti!D12</f>
        <v>0</v>
      </c>
    </row>
    <row r="10" spans="2:15" x14ac:dyDescent="0.2">
      <c r="B10" s="795" t="str">
        <f>' Dati tecnici e stima domanda'!C34</f>
        <v>Generatore di calore 1</v>
      </c>
      <c r="C10" s="796" t="str">
        <f>' Dati tecnici e stima domanda'!B34</f>
        <v>-</v>
      </c>
      <c r="D10" s="796"/>
      <c r="E10" s="798"/>
      <c r="J10" s="927"/>
      <c r="K10" s="897" t="str">
        <f>Investimenti!C13</f>
        <v>Elettrofiltro</v>
      </c>
      <c r="L10" s="898"/>
      <c r="M10" s="898"/>
      <c r="N10" s="899"/>
      <c r="O10" s="640">
        <f>Investimenti!D13</f>
        <v>0</v>
      </c>
    </row>
    <row r="11" spans="2:15" x14ac:dyDescent="0.2">
      <c r="B11" s="803" t="str">
        <f>' Dati tecnici e stima domanda'!C37</f>
        <v>Generatore di calore 2</v>
      </c>
      <c r="C11" s="804" t="str">
        <f>' Dati tecnici e stima domanda'!B37</f>
        <v>-</v>
      </c>
      <c r="D11" s="804"/>
      <c r="E11" s="806"/>
      <c r="J11" s="927"/>
      <c r="K11" s="897" t="str">
        <f>Investimenti!C14</f>
        <v>Impiantistica per la distribuzione</v>
      </c>
      <c r="L11" s="898"/>
      <c r="M11" s="898"/>
      <c r="N11" s="899"/>
      <c r="O11" s="640">
        <f>Investimenti!D14</f>
        <v>0</v>
      </c>
    </row>
    <row r="12" spans="2:15" x14ac:dyDescent="0.2">
      <c r="B12" s="809" t="str">
        <f>' Dati tecnici e stima domanda'!C40</f>
        <v>Generatore di calore 3</v>
      </c>
      <c r="C12" s="810" t="str">
        <f>' Dati tecnici e stima domanda'!B40</f>
        <v>-</v>
      </c>
      <c r="D12" s="810"/>
      <c r="E12" s="812"/>
      <c r="J12" s="927"/>
      <c r="K12" s="897" t="str">
        <f>Investimenti!C15</f>
        <v>Altro 1</v>
      </c>
      <c r="L12" s="898"/>
      <c r="M12" s="898"/>
      <c r="N12" s="899"/>
      <c r="O12" s="640">
        <f>Investimenti!D15</f>
        <v>0</v>
      </c>
    </row>
    <row r="13" spans="2:15" ht="13.5" thickBot="1" x14ac:dyDescent="0.25">
      <c r="B13" s="795" t="str">
        <f>' Dati tecnici e stima domanda'!B29</f>
        <v>Energia termica prodotta annualmente dall'impianto</v>
      </c>
      <c r="C13" s="796" t="str">
        <f>' Dati tecnici e stima domanda'!C29</f>
        <v>kWh/a</v>
      </c>
      <c r="D13" s="797">
        <f>' Dati tecnici e stima domanda'!D29</f>
        <v>0</v>
      </c>
      <c r="E13" s="813">
        <f>E16+E15+E14</f>
        <v>1</v>
      </c>
      <c r="J13" s="928"/>
      <c r="K13" s="897" t="str">
        <f>Investimenti!C16</f>
        <v>Altro 2</v>
      </c>
      <c r="L13" s="898"/>
      <c r="M13" s="898"/>
      <c r="N13" s="899"/>
      <c r="O13" s="640">
        <f>Investimenti!D16</f>
        <v>0</v>
      </c>
    </row>
    <row r="14" spans="2:15" x14ac:dyDescent="0.2">
      <c r="B14" s="803" t="str">
        <f>' Dati tecnici e stima domanda'!B30</f>
        <v>Energia termica prodotta dal generatore di calore 1</v>
      </c>
      <c r="C14" s="804" t="str">
        <f>' Dati tecnici e stima domanda'!C30</f>
        <v>kWh/a</v>
      </c>
      <c r="D14" s="805">
        <f>' Dati tecnici e stima domanda'!D30</f>
        <v>0</v>
      </c>
      <c r="E14" s="814">
        <f>' Dati tecnici e stima domanda'!E30</f>
        <v>1</v>
      </c>
      <c r="J14" s="920" t="s">
        <v>37</v>
      </c>
      <c r="K14" s="921"/>
      <c r="L14" s="921"/>
      <c r="M14" s="921"/>
      <c r="N14" s="922"/>
      <c r="O14" s="815">
        <f>Investimenti!D17</f>
        <v>0</v>
      </c>
    </row>
    <row r="15" spans="2:15" x14ac:dyDescent="0.2">
      <c r="B15" s="803" t="str">
        <f>' Dati tecnici e stima domanda'!B31</f>
        <v>Energia termica prodotta dal generatore di calore 2</v>
      </c>
      <c r="C15" s="804" t="str">
        <f>' Dati tecnici e stima domanda'!C31</f>
        <v>kWh/a</v>
      </c>
      <c r="D15" s="805">
        <f>' Dati tecnici e stima domanda'!D31</f>
        <v>0</v>
      </c>
      <c r="E15" s="814">
        <f>' Dati tecnici e stima domanda'!E31</f>
        <v>0</v>
      </c>
      <c r="J15" s="900"/>
      <c r="K15" s="910" t="str">
        <f>Investimenti!C18</f>
        <v>Opere civili</v>
      </c>
      <c r="L15" s="911"/>
      <c r="M15" s="911"/>
      <c r="N15" s="912"/>
      <c r="O15" s="640">
        <f>Investimenti!D18</f>
        <v>0</v>
      </c>
    </row>
    <row r="16" spans="2:15" x14ac:dyDescent="0.2">
      <c r="B16" s="809" t="str">
        <f>' Dati tecnici e stima domanda'!B32</f>
        <v>Energia termica prodotta dal generatore di calore 3</v>
      </c>
      <c r="C16" s="810" t="str">
        <f>' Dati tecnici e stima domanda'!C32</f>
        <v>kWh/a</v>
      </c>
      <c r="D16" s="811">
        <f>' Dati tecnici e stima domanda'!D32</f>
        <v>0</v>
      </c>
      <c r="E16" s="816">
        <f>' Dati tecnici e stima domanda'!E32</f>
        <v>0</v>
      </c>
      <c r="J16" s="901"/>
      <c r="K16" s="910" t="str">
        <f>Investimenti!C19</f>
        <v>Cogeneratore</v>
      </c>
      <c r="L16" s="911"/>
      <c r="M16" s="911"/>
      <c r="N16" s="912"/>
      <c r="O16" s="640">
        <f>Investimenti!D19</f>
        <v>0</v>
      </c>
    </row>
    <row r="17" spans="2:15" x14ac:dyDescent="0.2">
      <c r="B17" s="795" t="str">
        <f>' Dati tecnici e stima domanda'!B43</f>
        <v>TOTALE POTENZA TERMICA INSTALLATA</v>
      </c>
      <c r="C17" s="796" t="str">
        <f>' Dati tecnici e stima domanda'!C43</f>
        <v>kW</v>
      </c>
      <c r="D17" s="797">
        <f>' Dati tecnici e stima domanda'!D43</f>
        <v>0</v>
      </c>
      <c r="E17" s="813" t="e">
        <f>' Dati tecnici e stima domanda'!E43</f>
        <v>#DIV/0!</v>
      </c>
      <c r="J17" s="901"/>
      <c r="K17" s="910" t="str">
        <f>Investimenti!C20</f>
        <v>Impianto elettrico</v>
      </c>
      <c r="L17" s="911"/>
      <c r="M17" s="911"/>
      <c r="N17" s="912"/>
      <c r="O17" s="640">
        <f>Investimenti!D20</f>
        <v>0</v>
      </c>
    </row>
    <row r="18" spans="2:15" x14ac:dyDescent="0.2">
      <c r="B18" s="803" t="str">
        <f>' Dati tecnici e stima domanda'!B35</f>
        <v>Potenza termica fornita dal generatore di calore 1</v>
      </c>
      <c r="C18" s="804" t="str">
        <f>' Dati tecnici e stima domanda'!C35</f>
        <v>kW</v>
      </c>
      <c r="D18" s="805">
        <f>' Dati tecnici e stima domanda'!D35</f>
        <v>0</v>
      </c>
      <c r="E18" s="814" t="e">
        <f>' Dati tecnici e stima domanda'!E35</f>
        <v>#DIV/0!</v>
      </c>
      <c r="J18" s="901"/>
      <c r="K18" s="910" t="str">
        <f>Investimenti!C21</f>
        <v>Altro 1</v>
      </c>
      <c r="L18" s="911"/>
      <c r="M18" s="911"/>
      <c r="N18" s="912"/>
      <c r="O18" s="640">
        <f>Investimenti!D21</f>
        <v>0</v>
      </c>
    </row>
    <row r="19" spans="2:15" ht="13.5" thickBot="1" x14ac:dyDescent="0.25">
      <c r="B19" s="803" t="str">
        <f>' Dati tecnici e stima domanda'!B38</f>
        <v>Potenza termica fornita dal generatore di calore 2</v>
      </c>
      <c r="C19" s="804" t="str">
        <f>' Dati tecnici e stima domanda'!C38</f>
        <v>kW</v>
      </c>
      <c r="D19" s="805">
        <f>' Dati tecnici e stima domanda'!D38</f>
        <v>0</v>
      </c>
      <c r="E19" s="814" t="e">
        <f>' Dati tecnici e stima domanda'!E38</f>
        <v>#DIV/0!</v>
      </c>
      <c r="J19" s="902"/>
      <c r="K19" s="910" t="str">
        <f>Investimenti!C22</f>
        <v>Altro 2</v>
      </c>
      <c r="L19" s="911"/>
      <c r="M19" s="911"/>
      <c r="N19" s="912"/>
      <c r="O19" s="817">
        <f>Investimenti!D22</f>
        <v>0</v>
      </c>
    </row>
    <row r="20" spans="2:15" ht="13.5" thickBot="1" x14ac:dyDescent="0.25">
      <c r="B20" s="809" t="str">
        <f>' Dati tecnici e stima domanda'!B41</f>
        <v>Potenza termica  fornita dal generatore di calore 3</v>
      </c>
      <c r="C20" s="810" t="str">
        <f>' Dati tecnici e stima domanda'!C41</f>
        <v>kW</v>
      </c>
      <c r="D20" s="811">
        <f>' Dati tecnici e stima domanda'!D41</f>
        <v>0</v>
      </c>
      <c r="E20" s="816" t="e">
        <f>' Dati tecnici e stima domanda'!E41</f>
        <v>#DIV/0!</v>
      </c>
      <c r="J20" s="818"/>
      <c r="K20" s="819"/>
      <c r="L20" s="819"/>
      <c r="M20" s="819"/>
      <c r="N20" s="819"/>
      <c r="O20" s="820"/>
    </row>
    <row r="21" spans="2:15" ht="15" customHeight="1" x14ac:dyDescent="0.2">
      <c r="J21" s="913" t="s">
        <v>148</v>
      </c>
      <c r="K21" s="914"/>
      <c r="L21" s="807"/>
      <c r="M21" s="807"/>
      <c r="N21" s="807"/>
      <c r="O21" s="808">
        <f>Investimenti!D24</f>
        <v>0</v>
      </c>
    </row>
    <row r="22" spans="2:15" x14ac:dyDescent="0.2">
      <c r="B22" s="793" t="s">
        <v>360</v>
      </c>
      <c r="J22" s="821" t="s">
        <v>214</v>
      </c>
      <c r="K22" s="897" t="str">
        <f>Investimenti!C25</f>
        <v>Opere civili</v>
      </c>
      <c r="L22" s="898"/>
      <c r="M22" s="898"/>
      <c r="N22" s="899"/>
      <c r="O22" s="640">
        <f>Investimenti!D25</f>
        <v>0</v>
      </c>
    </row>
    <row r="23" spans="2:15" x14ac:dyDescent="0.2">
      <c r="B23" s="795" t="str">
        <f>' Dati tecnici e stima domanda'!B57</f>
        <v>Densità termica del territorio</v>
      </c>
      <c r="C23" s="796" t="str">
        <f>' Dati tecnici e stima domanda'!C57</f>
        <v>(kWh/a)/m2</v>
      </c>
      <c r="D23" s="822" t="e">
        <f>' Dati tecnici e stima domanda'!D57</f>
        <v>#DIV/0!</v>
      </c>
      <c r="E23" s="798"/>
      <c r="J23" s="823"/>
      <c r="K23" s="897" t="str">
        <f>Investimenti!C26</f>
        <v>Stazioni di ripompaggio</v>
      </c>
      <c r="L23" s="898"/>
      <c r="M23" s="898"/>
      <c r="N23" s="899"/>
      <c r="O23" s="640">
        <f>Investimenti!D26</f>
        <v>0</v>
      </c>
    </row>
    <row r="24" spans="2:15" x14ac:dyDescent="0.2">
      <c r="B24" s="803" t="str">
        <f>' Dati tecnici e stima domanda'!B58</f>
        <v>Densità termica del territorio</v>
      </c>
      <c r="C24" s="804" t="str">
        <f>' Dati tecnici e stima domanda'!C58</f>
        <v>MW/km2</v>
      </c>
      <c r="D24" s="824" t="e">
        <f>' Dati tecnici e stima domanda'!D58</f>
        <v>#DIV/0!</v>
      </c>
      <c r="E24" s="806"/>
      <c r="J24" s="823"/>
      <c r="K24" s="897" t="str">
        <f>Investimenti!C27</f>
        <v>Condotte per rete di teleriscaldamento</v>
      </c>
      <c r="L24" s="898"/>
      <c r="M24" s="898"/>
      <c r="N24" s="899"/>
      <c r="O24" s="640">
        <f>Investimenti!D27</f>
        <v>0</v>
      </c>
    </row>
    <row r="25" spans="2:15" x14ac:dyDescent="0.2">
      <c r="B25" s="803" t="str">
        <f>' Dati tecnici e stima domanda'!B59</f>
        <v>Densità termica della rete</v>
      </c>
      <c r="C25" s="804" t="str">
        <f>' Dati tecnici e stima domanda'!C59</f>
        <v>(MWh/a)/m</v>
      </c>
      <c r="D25" s="824" t="e">
        <f>' Dati tecnici e stima domanda'!D59</f>
        <v>#DIV/0!</v>
      </c>
      <c r="E25" s="806"/>
      <c r="J25" s="825"/>
      <c r="K25" s="897" t="str">
        <f>Investimenti!C28</f>
        <v>Scavo, posa e ripristino per le condotte interrate</v>
      </c>
      <c r="L25" s="898"/>
      <c r="M25" s="898"/>
      <c r="N25" s="899"/>
      <c r="O25" s="640">
        <f>Investimenti!D28</f>
        <v>0</v>
      </c>
    </row>
    <row r="26" spans="2:15" x14ac:dyDescent="0.2">
      <c r="B26" s="809" t="str">
        <f>' Dati tecnici e stima domanda'!B60</f>
        <v>Densità termica della rete</v>
      </c>
      <c r="C26" s="810" t="str">
        <f>' Dati tecnici e stima domanda'!C60</f>
        <v>kW/m</v>
      </c>
      <c r="D26" s="826" t="e">
        <f>' Dati tecnici e stima domanda'!D60</f>
        <v>#DIV/0!</v>
      </c>
      <c r="E26" s="812"/>
      <c r="J26" s="827" t="s">
        <v>212</v>
      </c>
      <c r="K26" s="897" t="str">
        <f>Investimenti!C29</f>
        <v>Condotte per lo stacco a confine</v>
      </c>
      <c r="L26" s="898"/>
      <c r="M26" s="898"/>
      <c r="N26" s="899"/>
      <c r="O26" s="640">
        <f>Investimenti!D29</f>
        <v>0</v>
      </c>
    </row>
    <row r="27" spans="2:15" x14ac:dyDescent="0.2">
      <c r="J27" s="828"/>
      <c r="K27" s="897" t="str">
        <f>Investimenti!C30</f>
        <v>Lavori per la diramazione a confine</v>
      </c>
      <c r="L27" s="898"/>
      <c r="M27" s="898"/>
      <c r="N27" s="899"/>
      <c r="O27" s="640">
        <f>Investimenti!D30</f>
        <v>0</v>
      </c>
    </row>
    <row r="28" spans="2:15" x14ac:dyDescent="0.2">
      <c r="B28" s="793" t="s">
        <v>12</v>
      </c>
      <c r="J28" s="828"/>
      <c r="K28" s="897" t="str">
        <f>Investimenti!C31</f>
        <v>Sottostazioni - scambiatori</v>
      </c>
      <c r="L28" s="898"/>
      <c r="M28" s="898"/>
      <c r="N28" s="899"/>
      <c r="O28" s="640">
        <f>Investimenti!D31</f>
        <v>0</v>
      </c>
    </row>
    <row r="29" spans="2:15" x14ac:dyDescent="0.2">
      <c r="B29" s="795"/>
      <c r="C29" s="829" t="s">
        <v>358</v>
      </c>
      <c r="D29" s="829"/>
      <c r="E29" s="829" t="s">
        <v>359</v>
      </c>
      <c r="F29" s="830"/>
      <c r="J29" s="828"/>
      <c r="K29" s="897" t="str">
        <f>Investimenti!C32</f>
        <v>Sottostazioni - accessori</v>
      </c>
      <c r="L29" s="898"/>
      <c r="M29" s="898"/>
      <c r="N29" s="899"/>
      <c r="O29" s="640">
        <f>Investimenti!D32</f>
        <v>0</v>
      </c>
    </row>
    <row r="30" spans="2:15" x14ac:dyDescent="0.2">
      <c r="B30" s="803" t="str">
        <f>'Vettori energetici'!B19</f>
        <v>Cippato</v>
      </c>
      <c r="C30" s="805">
        <f>'Vettori energetici'!H19</f>
        <v>0</v>
      </c>
      <c r="D30" s="804" t="str">
        <f>'Vettori energetici'!I19</f>
        <v>kWh/a</v>
      </c>
      <c r="E30" s="831">
        <f>'Vettori energetici'!J19</f>
        <v>0.06</v>
      </c>
      <c r="F30" s="832" t="str">
        <f>'Vettori energetici'!K19</f>
        <v>CHF/kWh</v>
      </c>
      <c r="J30" s="828"/>
      <c r="K30" s="897" t="str">
        <f>Investimenti!C33</f>
        <v>Sottostazioni - telegestione impianti elettrici</v>
      </c>
      <c r="L30" s="898"/>
      <c r="M30" s="898"/>
      <c r="N30" s="899"/>
      <c r="O30" s="640">
        <f>Investimenti!D33</f>
        <v>0</v>
      </c>
    </row>
    <row r="31" spans="2:15" x14ac:dyDescent="0.2">
      <c r="B31" s="803" t="str">
        <f>'Vettori energetici'!B20</f>
        <v>Pellets</v>
      </c>
      <c r="C31" s="805">
        <f>'Vettori energetici'!H20</f>
        <v>0</v>
      </c>
      <c r="D31" s="804" t="str">
        <f>'Vettori energetici'!I20</f>
        <v>kg/a</v>
      </c>
      <c r="E31" s="831">
        <f>'Vettori energetici'!J20</f>
        <v>150</v>
      </c>
      <c r="F31" s="832" t="str">
        <f>'Vettori energetici'!K20</f>
        <v>CHF/m3</v>
      </c>
      <c r="J31" s="828"/>
      <c r="K31" s="897" t="str">
        <f>Investimenti!C34</f>
        <v>Sottostazioni - altro (lavori, allacciam, ecc.)</v>
      </c>
      <c r="L31" s="898"/>
      <c r="M31" s="898"/>
      <c r="N31" s="899"/>
      <c r="O31" s="640">
        <f>Investimenti!D34</f>
        <v>0</v>
      </c>
    </row>
    <row r="32" spans="2:15" x14ac:dyDescent="0.2">
      <c r="B32" s="803" t="str">
        <f>'Vettori energetici'!B21</f>
        <v>Olio combustibile</v>
      </c>
      <c r="C32" s="805">
        <f>'Vettori energetici'!H21</f>
        <v>0</v>
      </c>
      <c r="D32" s="804" t="str">
        <f>'Vettori energetici'!I21</f>
        <v>litri/a</v>
      </c>
      <c r="E32" s="831">
        <f>'Vettori energetici'!J21</f>
        <v>1</v>
      </c>
      <c r="F32" s="832" t="str">
        <f>'Vettori energetici'!K21</f>
        <v>CHF/litro</v>
      </c>
      <c r="J32" s="833"/>
      <c r="K32" s="897" t="str">
        <f>Investimenti!C35</f>
        <v>Altro</v>
      </c>
      <c r="L32" s="898"/>
      <c r="M32" s="898"/>
      <c r="N32" s="899"/>
      <c r="O32" s="640">
        <f>Investimenti!D35</f>
        <v>0</v>
      </c>
    </row>
    <row r="33" spans="2:16" x14ac:dyDescent="0.2">
      <c r="B33" s="803" t="str">
        <f>'Vettori energetici'!B22</f>
        <v>Gas metano</v>
      </c>
      <c r="C33" s="805">
        <f>'Vettori energetici'!H22</f>
        <v>0</v>
      </c>
      <c r="D33" s="804" t="str">
        <f>'Vettori energetici'!I22</f>
        <v>kWh/a</v>
      </c>
      <c r="E33" s="831">
        <f>'Vettori energetici'!J22</f>
        <v>0.1</v>
      </c>
      <c r="F33" s="832" t="str">
        <f>'Vettori energetici'!K22</f>
        <v>CHF/kWh</v>
      </c>
      <c r="J33" s="828"/>
      <c r="K33" s="897" t="str">
        <f>Investimenti!C36</f>
        <v>Altro 1</v>
      </c>
      <c r="L33" s="898"/>
      <c r="M33" s="898"/>
      <c r="N33" s="899"/>
      <c r="O33" s="640">
        <f>Investimenti!D36</f>
        <v>0</v>
      </c>
    </row>
    <row r="34" spans="2:16" ht="13.5" thickBot="1" x14ac:dyDescent="0.25">
      <c r="B34" s="803" t="str">
        <f>'Vettori energetici'!B23</f>
        <v>Gas GPL</v>
      </c>
      <c r="C34" s="805">
        <f>'Vettori energetici'!H23</f>
        <v>0</v>
      </c>
      <c r="D34" s="804" t="str">
        <f>'Vettori energetici'!I23</f>
        <v>litri/a</v>
      </c>
      <c r="E34" s="831">
        <f>'Vettori energetici'!J23</f>
        <v>1.4</v>
      </c>
      <c r="F34" s="832" t="str">
        <f>'Vettori energetici'!K23</f>
        <v>CHF/litro</v>
      </c>
      <c r="J34" s="834"/>
      <c r="K34" s="915" t="str">
        <f>Investimenti!C37</f>
        <v>Altro 2</v>
      </c>
      <c r="L34" s="916"/>
      <c r="M34" s="916"/>
      <c r="N34" s="917"/>
      <c r="O34" s="817">
        <f>Investimenti!D37</f>
        <v>0</v>
      </c>
    </row>
    <row r="35" spans="2:16" x14ac:dyDescent="0.2">
      <c r="B35" s="803" t="str">
        <f>'Vettori energetici'!B24</f>
        <v>Energia elettrica consumata dall'impianto (componenti ausiliari, ecc.)</v>
      </c>
      <c r="C35" s="805">
        <f>'Vettori energetici'!H24</f>
        <v>0</v>
      </c>
      <c r="D35" s="804" t="str">
        <f>'Vettori energetici'!I24</f>
        <v>kWh/a</v>
      </c>
      <c r="E35" s="831">
        <f>'Vettori energetici'!J24</f>
        <v>0.2</v>
      </c>
      <c r="F35" s="832" t="str">
        <f>'Vettori energetici'!K24</f>
        <v>CHF/kWh</v>
      </c>
      <c r="J35" s="835" t="s">
        <v>0</v>
      </c>
      <c r="K35" s="836"/>
      <c r="L35" s="837"/>
      <c r="M35" s="837"/>
      <c r="N35" s="837"/>
      <c r="O35" s="838">
        <f>Investimenti!D38</f>
        <v>0</v>
      </c>
    </row>
    <row r="36" spans="2:16" ht="13.5" thickBot="1" x14ac:dyDescent="0.25">
      <c r="B36" s="803" t="str">
        <f>'Vettori energetici'!B25</f>
        <v>Energia elettrica per riscaldamento (Pompe di calore)</v>
      </c>
      <c r="C36" s="805">
        <f>'Vettori energetici'!H25</f>
        <v>0</v>
      </c>
      <c r="D36" s="804" t="str">
        <f>'Vettori energetici'!I25</f>
        <v>kWh/a</v>
      </c>
      <c r="E36" s="831">
        <f>'Vettori energetici'!J25</f>
        <v>0.2</v>
      </c>
      <c r="F36" s="832" t="str">
        <f>'Vettori energetici'!K25</f>
        <v>CHF/kWh</v>
      </c>
      <c r="I36" s="804"/>
      <c r="J36" s="839"/>
      <c r="K36" s="839"/>
      <c r="L36" s="839"/>
      <c r="M36" s="839"/>
      <c r="N36" s="839"/>
      <c r="O36" s="839"/>
      <c r="P36" s="804"/>
    </row>
    <row r="37" spans="2:16" x14ac:dyDescent="0.2">
      <c r="B37" s="809" t="str">
        <f>'Vettori energetici'!B27</f>
        <v>Energia elettrica prodotta dall'impianto e venduta alla rete</v>
      </c>
      <c r="C37" s="811">
        <f>'Vettori energetici'!H27</f>
        <v>0</v>
      </c>
      <c r="D37" s="810" t="str">
        <f>'Vettori energetici'!I27</f>
        <v>kWh/a</v>
      </c>
      <c r="E37" s="840">
        <f>'Vettori energetici'!J27</f>
        <v>0.15</v>
      </c>
      <c r="F37" s="841" t="str">
        <f>'Vettori energetici'!K27</f>
        <v>CHF/kWh</v>
      </c>
      <c r="J37" s="903"/>
      <c r="K37" s="907" t="s">
        <v>207</v>
      </c>
      <c r="L37" s="908"/>
      <c r="M37" s="908"/>
      <c r="N37" s="909"/>
      <c r="O37" s="842">
        <f>Investimenti!D41</f>
        <v>0</v>
      </c>
    </row>
    <row r="38" spans="2:16" x14ac:dyDescent="0.2">
      <c r="J38" s="904"/>
      <c r="K38" s="910" t="s">
        <v>208</v>
      </c>
      <c r="L38" s="911"/>
      <c r="M38" s="911"/>
      <c r="N38" s="912"/>
      <c r="O38" s="640">
        <f>Investimenti!D42</f>
        <v>0</v>
      </c>
    </row>
    <row r="39" spans="2:16" ht="15.75" customHeight="1" thickBot="1" x14ac:dyDescent="0.25">
      <c r="J39" s="918" t="s">
        <v>377</v>
      </c>
      <c r="K39" s="919"/>
      <c r="L39" s="843"/>
      <c r="M39" s="843"/>
      <c r="N39" s="843"/>
      <c r="O39" s="844">
        <f>SUM(O37:O38)</f>
        <v>0</v>
      </c>
    </row>
    <row r="40" spans="2:16" ht="13.5" thickBot="1" x14ac:dyDescent="0.25">
      <c r="J40" s="799" t="s">
        <v>495</v>
      </c>
      <c r="K40" s="800"/>
      <c r="L40" s="845"/>
      <c r="M40" s="845"/>
      <c r="N40" s="846"/>
      <c r="O40" s="802">
        <f>O35+O39</f>
        <v>0</v>
      </c>
    </row>
    <row r="41" spans="2:16" ht="13.5" thickBot="1" x14ac:dyDescent="0.25">
      <c r="B41" s="793" t="s">
        <v>362</v>
      </c>
      <c r="J41" s="847"/>
      <c r="K41" s="847"/>
      <c r="L41" s="847"/>
      <c r="M41" s="847"/>
      <c r="N41" s="847"/>
      <c r="O41" s="847"/>
    </row>
    <row r="42" spans="2:16" x14ac:dyDescent="0.2">
      <c r="B42" s="794" t="s">
        <v>410</v>
      </c>
      <c r="C42" s="848">
        <f>Investimenti!M6</f>
        <v>0.3</v>
      </c>
      <c r="D42" s="794" t="s">
        <v>493</v>
      </c>
      <c r="E42" s="849">
        <f>Investimenti!N11</f>
        <v>0.01</v>
      </c>
      <c r="F42" s="850">
        <f>Investimenti!N12</f>
        <v>20</v>
      </c>
      <c r="G42" s="794" t="s">
        <v>494</v>
      </c>
      <c r="J42" s="851" t="s">
        <v>378</v>
      </c>
      <c r="K42" s="852"/>
      <c r="L42" s="852"/>
      <c r="M42" s="852"/>
      <c r="N42" s="853"/>
      <c r="O42" s="854" t="s">
        <v>1</v>
      </c>
    </row>
    <row r="43" spans="2:16" x14ac:dyDescent="0.2">
      <c r="B43" s="794" t="s">
        <v>411</v>
      </c>
      <c r="C43" s="848">
        <f>Investimenti!M7</f>
        <v>0.7</v>
      </c>
      <c r="D43" s="794" t="s">
        <v>493</v>
      </c>
      <c r="E43" s="849">
        <f>Investimenti!N16</f>
        <v>0.03</v>
      </c>
      <c r="F43" s="794">
        <f>Investimenti!N17</f>
        <v>20</v>
      </c>
      <c r="G43" s="794" t="s">
        <v>494</v>
      </c>
      <c r="J43" s="905"/>
      <c r="K43" s="897" t="s">
        <v>40</v>
      </c>
      <c r="L43" s="898"/>
      <c r="M43" s="898"/>
      <c r="N43" s="899"/>
      <c r="O43" s="640">
        <f>Investimenti!F43</f>
        <v>0</v>
      </c>
    </row>
    <row r="44" spans="2:16" ht="15.75" customHeight="1" thickBot="1" x14ac:dyDescent="0.25">
      <c r="J44" s="906"/>
      <c r="K44" s="894" t="s">
        <v>381</v>
      </c>
      <c r="L44" s="895"/>
      <c r="M44" s="895"/>
      <c r="N44" s="896"/>
      <c r="O44" s="817">
        <f>Investimenti!F44</f>
        <v>0</v>
      </c>
    </row>
    <row r="45" spans="2:16" x14ac:dyDescent="0.2">
      <c r="B45" s="794" t="str">
        <f>Costi!C5</f>
        <v>CENTRALE</v>
      </c>
      <c r="C45" s="855" t="e">
        <f>Costi!D5</f>
        <v>#DIV/0!</v>
      </c>
      <c r="D45" s="794" t="s">
        <v>361</v>
      </c>
    </row>
    <row r="46" spans="2:16" x14ac:dyDescent="0.2">
      <c r="B46" s="794" t="str">
        <f>Costi!C21</f>
        <v>DISTRIBUZIONE CALORE</v>
      </c>
      <c r="C46" s="855" t="e">
        <f>Costi!D21</f>
        <v>#DIV/0!</v>
      </c>
      <c r="D46" s="794" t="s">
        <v>361</v>
      </c>
    </row>
    <row r="47" spans="2:16" x14ac:dyDescent="0.2">
      <c r="B47" s="794" t="str">
        <f>Costi!B33</f>
        <v>VETTORI ENERGETICI</v>
      </c>
      <c r="C47" s="855">
        <f>Costi!D33</f>
        <v>0</v>
      </c>
      <c r="D47" s="794" t="s">
        <v>361</v>
      </c>
    </row>
    <row r="48" spans="2:16" x14ac:dyDescent="0.2">
      <c r="B48" s="794" t="str">
        <f>Costi!B29</f>
        <v>ALTRI COSTI</v>
      </c>
      <c r="C48" s="855">
        <f>Costi!D29</f>
        <v>0</v>
      </c>
      <c r="D48" s="794" t="s">
        <v>361</v>
      </c>
    </row>
    <row r="49" spans="2:4" x14ac:dyDescent="0.2">
      <c r="B49" s="794" t="str">
        <f>Costi!B37</f>
        <v>COSTO DI PRODUZIONE UNITARIO DI CALORE</v>
      </c>
      <c r="C49" s="856" t="e">
        <f>Costi!D37</f>
        <v>#DIV/0!</v>
      </c>
      <c r="D49" s="794" t="s">
        <v>181</v>
      </c>
    </row>
    <row r="50" spans="2:4" x14ac:dyDescent="0.2">
      <c r="B50" s="794" t="str">
        <f>Costi!B41</f>
        <v xml:space="preserve">COSTO DI PRODUZIONE UNITARIO DI CALORE AL NETTO DEI CONTRIBUTI PUBBLICI </v>
      </c>
      <c r="C50" s="856" t="e">
        <f>Costi!D41</f>
        <v>#DIV/0!</v>
      </c>
      <c r="D50" s="794" t="s">
        <v>181</v>
      </c>
    </row>
    <row r="52" spans="2:4" x14ac:dyDescent="0.2">
      <c r="B52" s="793" t="s">
        <v>331</v>
      </c>
    </row>
    <row r="53" spans="2:4" x14ac:dyDescent="0.2">
      <c r="B53" s="794" t="str">
        <f>'Indicatori economici'!E46</f>
        <v>Costo totale/potenza  installata (senza incentivi)</v>
      </c>
      <c r="C53" s="855" t="e">
        <f>'Indicatori economici'!G46</f>
        <v>#DIV/0!</v>
      </c>
      <c r="D53" s="850" t="str">
        <f>'Indicatori economici'!F46</f>
        <v>CHF/kW</v>
      </c>
    </row>
    <row r="54" spans="2:4" x14ac:dyDescent="0.2">
      <c r="B54" s="794" t="str">
        <f>'Indicatori economici'!E47</f>
        <v>Costo totale/fabbisogno di calore (senza incentivi)</v>
      </c>
      <c r="C54" s="855" t="e">
        <f>'Indicatori economici'!G47</f>
        <v>#DIV/0!</v>
      </c>
      <c r="D54" s="850" t="str">
        <f>'Indicatori economici'!F47</f>
        <v>CHF/MWh</v>
      </c>
    </row>
    <row r="55" spans="2:4" x14ac:dyDescent="0.2">
      <c r="B55" s="794" t="str">
        <f>'Indicatori economici'!E48</f>
        <v>Costo totale/metri di scavo (senza incentivi)</v>
      </c>
      <c r="C55" s="855" t="e">
        <f>'Indicatori economici'!G48</f>
        <v>#DIV/0!</v>
      </c>
      <c r="D55" s="850" t="str">
        <f>'Indicatori economici'!F48</f>
        <v>CHF/km</v>
      </c>
    </row>
    <row r="57" spans="2:4" x14ac:dyDescent="0.2">
      <c r="B57" s="793" t="s">
        <v>332</v>
      </c>
    </row>
    <row r="58" spans="2:4" x14ac:dyDescent="0.2">
      <c r="B58" s="794" t="str">
        <f>'Indicatori ambientali'!B18</f>
        <v>Emissioni di CO2 (kg/a)</v>
      </c>
      <c r="C58" s="855">
        <f>'Indicatori ambientali'!I18</f>
        <v>0</v>
      </c>
      <c r="D58" s="794" t="str">
        <f>'Indicatori ambientali'!I17</f>
        <v>kg/a</v>
      </c>
    </row>
    <row r="59" spans="2:4" x14ac:dyDescent="0.2">
      <c r="B59" s="794" t="str">
        <f>'Indicatori ambientali'!B23</f>
        <v>Fabbisogno di energia non rinnovabile (kWh/a)</v>
      </c>
      <c r="C59" s="855">
        <f>'Indicatori ambientali'!I23</f>
        <v>0</v>
      </c>
      <c r="D59" s="855" t="str">
        <f>'Indicatori ambientali'!I22</f>
        <v>kWh/a</v>
      </c>
    </row>
    <row r="61" spans="2:4" x14ac:dyDescent="0.2">
      <c r="B61" s="793" t="s">
        <v>363</v>
      </c>
    </row>
    <row r="62" spans="2:4" x14ac:dyDescent="0.2">
      <c r="B62" s="794" t="str">
        <f>'Prezzi e Ricavi'!B3</f>
        <v>Prezzi di vendita del calore</v>
      </c>
      <c r="C62" s="856">
        <f>'Prezzi e Ricavi'!E3</f>
        <v>0</v>
      </c>
      <c r="D62" s="794" t="str">
        <f>'Prezzi e Ricavi'!D3</f>
        <v>cts/kWh</v>
      </c>
    </row>
    <row r="63" spans="2:4" x14ac:dyDescent="0.2">
      <c r="B63" s="794" t="str">
        <f>'Prezzi e Ricavi'!B4</f>
        <v>Prezzo di vendita dell'energia elettrica da cogenerazione</v>
      </c>
      <c r="C63" s="856">
        <f>'Prezzi e Ricavi'!E4</f>
        <v>15</v>
      </c>
      <c r="D63" s="794" t="str">
        <f>'Prezzi e Ricavi'!D4</f>
        <v>cts/kWh</v>
      </c>
    </row>
    <row r="64" spans="2:4" x14ac:dyDescent="0.2">
      <c r="B64" s="794" t="str">
        <f>'Prezzi e Ricavi'!B5</f>
        <v>Tassa allacciamento utenti (una tantum)</v>
      </c>
      <c r="C64" s="856">
        <f>'Prezzi e Ricavi'!E5</f>
        <v>0</v>
      </c>
      <c r="D64" s="794" t="str">
        <f>'Prezzi e Ricavi'!D5</f>
        <v>CHF/kW</v>
      </c>
    </row>
    <row r="65" spans="2:4" x14ac:dyDescent="0.2">
      <c r="B65" s="794" t="str">
        <f>'Prezzi e Ricavi'!B6</f>
        <v>Prezzo abbonamenti (annuo)</v>
      </c>
      <c r="C65" s="856">
        <f>'Prezzi e Ricavi'!E6</f>
        <v>0</v>
      </c>
      <c r="D65" s="794" t="str">
        <f>'Prezzi e Ricavi'!D6</f>
        <v>CHF/utente</v>
      </c>
    </row>
  </sheetData>
  <sheetProtection password="C632" sheet="1" objects="1" scenarios="1"/>
  <mergeCells count="39">
    <mergeCell ref="J39:K39"/>
    <mergeCell ref="J14:N14"/>
    <mergeCell ref="J5:N5"/>
    <mergeCell ref="K12:N12"/>
    <mergeCell ref="J6:J13"/>
    <mergeCell ref="K13:N13"/>
    <mergeCell ref="K33:N33"/>
    <mergeCell ref="K32:N32"/>
    <mergeCell ref="K31:N31"/>
    <mergeCell ref="K30:N30"/>
    <mergeCell ref="K29:N29"/>
    <mergeCell ref="K28:N28"/>
    <mergeCell ref="K27:N27"/>
    <mergeCell ref="K26:N26"/>
    <mergeCell ref="K25:N25"/>
    <mergeCell ref="K24:N24"/>
    <mergeCell ref="J4:K4"/>
    <mergeCell ref="K7:N7"/>
    <mergeCell ref="K6:N6"/>
    <mergeCell ref="K11:N11"/>
    <mergeCell ref="K10:N10"/>
    <mergeCell ref="K9:N9"/>
    <mergeCell ref="K8:N8"/>
    <mergeCell ref="K44:N44"/>
    <mergeCell ref="K43:N43"/>
    <mergeCell ref="J15:J19"/>
    <mergeCell ref="J37:J38"/>
    <mergeCell ref="J43:J44"/>
    <mergeCell ref="K37:N37"/>
    <mergeCell ref="K18:N18"/>
    <mergeCell ref="K19:N19"/>
    <mergeCell ref="J21:K21"/>
    <mergeCell ref="K34:N34"/>
    <mergeCell ref="K38:N38"/>
    <mergeCell ref="K23:N23"/>
    <mergeCell ref="K22:N22"/>
    <mergeCell ref="K15:N15"/>
    <mergeCell ref="K16:N16"/>
    <mergeCell ref="K17:N17"/>
  </mergeCells>
  <pageMargins left="0.7" right="0.7" top="0.75" bottom="0.75" header="0.3" footer="0.3"/>
  <pageSetup paperSize="9"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6"/>
  <sheetViews>
    <sheetView topLeftCell="A55" workbookViewId="0">
      <selection activeCell="B22" sqref="B22"/>
    </sheetView>
  </sheetViews>
  <sheetFormatPr defaultRowHeight="15" x14ac:dyDescent="0.25"/>
  <cols>
    <col min="1" max="1" width="4.85546875" customWidth="1"/>
    <col min="2" max="2" width="185.85546875" style="779" customWidth="1"/>
  </cols>
  <sheetData>
    <row r="1" spans="1:2" ht="41.25" customHeight="1" thickBot="1" x14ac:dyDescent="0.45">
      <c r="A1" s="791" t="s">
        <v>276</v>
      </c>
      <c r="B1" s="792"/>
    </row>
    <row r="2" spans="1:2" ht="15.75" thickBot="1" x14ac:dyDescent="0.3"/>
    <row r="3" spans="1:2" ht="15.75" x14ac:dyDescent="0.25">
      <c r="A3" s="780" t="s">
        <v>249</v>
      </c>
      <c r="B3" s="781"/>
    </row>
    <row r="4" spans="1:2" x14ac:dyDescent="0.25">
      <c r="A4" s="782"/>
      <c r="B4" s="783"/>
    </row>
    <row r="5" spans="1:2" x14ac:dyDescent="0.25">
      <c r="A5" s="782" t="s">
        <v>242</v>
      </c>
      <c r="B5" s="784" t="str">
        <f>' Dati tecnici e stima domanda'!B4</f>
        <v>Rete e utenze</v>
      </c>
    </row>
    <row r="6" spans="1:2" x14ac:dyDescent="0.25">
      <c r="A6" s="782"/>
      <c r="B6" s="783" t="s">
        <v>258</v>
      </c>
    </row>
    <row r="7" spans="1:2" x14ac:dyDescent="0.25">
      <c r="A7" s="782"/>
      <c r="B7" s="783" t="s">
        <v>367</v>
      </c>
    </row>
    <row r="8" spans="1:2" ht="30" x14ac:dyDescent="0.25">
      <c r="A8" s="782"/>
      <c r="B8" s="783" t="s">
        <v>370</v>
      </c>
    </row>
    <row r="9" spans="1:2" x14ac:dyDescent="0.25">
      <c r="A9" s="782"/>
      <c r="B9" s="783" t="s">
        <v>368</v>
      </c>
    </row>
    <row r="10" spans="1:2" x14ac:dyDescent="0.25">
      <c r="A10" s="782"/>
      <c r="B10" s="783"/>
    </row>
    <row r="11" spans="1:2" x14ac:dyDescent="0.25">
      <c r="A11" s="782" t="s">
        <v>243</v>
      </c>
      <c r="B11" s="784" t="str">
        <f>' Dati tecnici e stima domanda'!B15</f>
        <v>Fabbisogni termici</v>
      </c>
    </row>
    <row r="12" spans="1:2" ht="30" x14ac:dyDescent="0.25">
      <c r="A12" s="782"/>
      <c r="B12" s="783" t="s">
        <v>259</v>
      </c>
    </row>
    <row r="13" spans="1:2" ht="30" x14ac:dyDescent="0.25">
      <c r="A13" s="782"/>
      <c r="B13" s="783" t="s">
        <v>260</v>
      </c>
    </row>
    <row r="14" spans="1:2" x14ac:dyDescent="0.25">
      <c r="A14" s="782"/>
      <c r="B14" s="783" t="s">
        <v>261</v>
      </c>
    </row>
    <row r="15" spans="1:2" x14ac:dyDescent="0.25">
      <c r="A15" s="782"/>
      <c r="B15" s="783" t="s">
        <v>262</v>
      </c>
    </row>
    <row r="16" spans="1:2" x14ac:dyDescent="0.25">
      <c r="A16" s="782"/>
      <c r="B16" s="783"/>
    </row>
    <row r="17" spans="1:2" x14ac:dyDescent="0.25">
      <c r="A17" s="782" t="s">
        <v>244</v>
      </c>
      <c r="B17" s="784" t="str">
        <f>' Dati tecnici e stima domanda'!B27</f>
        <v>Centrale termica</v>
      </c>
    </row>
    <row r="18" spans="1:2" ht="30" x14ac:dyDescent="0.25">
      <c r="A18" s="782"/>
      <c r="B18" s="783" t="s">
        <v>406</v>
      </c>
    </row>
    <row r="19" spans="1:2" x14ac:dyDescent="0.25">
      <c r="A19" s="782"/>
      <c r="B19" s="783" t="s">
        <v>263</v>
      </c>
    </row>
    <row r="20" spans="1:2" x14ac:dyDescent="0.25">
      <c r="A20" s="782"/>
      <c r="B20" s="783" t="s">
        <v>293</v>
      </c>
    </row>
    <row r="21" spans="1:2" x14ac:dyDescent="0.25">
      <c r="A21" s="782"/>
      <c r="B21" s="783" t="s">
        <v>264</v>
      </c>
    </row>
    <row r="22" spans="1:2" x14ac:dyDescent="0.25">
      <c r="A22" s="782"/>
      <c r="B22" s="783"/>
    </row>
    <row r="23" spans="1:2" x14ac:dyDescent="0.25">
      <c r="A23" s="782" t="s">
        <v>245</v>
      </c>
      <c r="B23" s="784" t="str">
        <f>' Dati tecnici e stima domanda'!B45</f>
        <v>Consumi di energia elettrica</v>
      </c>
    </row>
    <row r="24" spans="1:2" ht="30" x14ac:dyDescent="0.25">
      <c r="A24" s="782"/>
      <c r="B24" s="783" t="s">
        <v>407</v>
      </c>
    </row>
    <row r="25" spans="1:2" x14ac:dyDescent="0.25">
      <c r="A25" s="782"/>
      <c r="B25" s="783" t="s">
        <v>372</v>
      </c>
    </row>
    <row r="26" spans="1:2" x14ac:dyDescent="0.25">
      <c r="A26" s="782"/>
      <c r="B26" s="783" t="s">
        <v>373</v>
      </c>
    </row>
    <row r="27" spans="1:2" x14ac:dyDescent="0.25">
      <c r="A27" s="782"/>
      <c r="B27" s="783"/>
    </row>
    <row r="28" spans="1:2" x14ac:dyDescent="0.25">
      <c r="A28" s="782" t="s">
        <v>246</v>
      </c>
      <c r="B28" s="784" t="str">
        <f>' Dati tecnici e stima domanda'!B56</f>
        <v>Indici energetici</v>
      </c>
    </row>
    <row r="29" spans="1:2" ht="30" x14ac:dyDescent="0.25">
      <c r="A29" s="782"/>
      <c r="B29" s="783" t="s">
        <v>371</v>
      </c>
    </row>
    <row r="30" spans="1:2" ht="30" x14ac:dyDescent="0.25">
      <c r="A30" s="782"/>
      <c r="B30" s="783" t="s">
        <v>474</v>
      </c>
    </row>
    <row r="31" spans="1:2" x14ac:dyDescent="0.25">
      <c r="A31" s="782"/>
      <c r="B31" s="783"/>
    </row>
    <row r="32" spans="1:2" x14ac:dyDescent="0.25">
      <c r="A32" s="782" t="s">
        <v>247</v>
      </c>
      <c r="B32" s="784" t="str">
        <f>' Dati tecnici e stima domanda'!B66</f>
        <v>Dati tecnici - Cogenerazione</v>
      </c>
    </row>
    <row r="33" spans="1:2" ht="30.75" thickBot="1" x14ac:dyDescent="0.3">
      <c r="A33" s="785"/>
      <c r="B33" s="786" t="s">
        <v>477</v>
      </c>
    </row>
    <row r="35" spans="1:2" ht="15.75" thickBot="1" x14ac:dyDescent="0.3"/>
    <row r="36" spans="1:2" ht="15.75" x14ac:dyDescent="0.25">
      <c r="A36" s="780" t="s">
        <v>12</v>
      </c>
      <c r="B36" s="787"/>
    </row>
    <row r="37" spans="1:2" x14ac:dyDescent="0.25">
      <c r="A37" s="782"/>
      <c r="B37" s="783"/>
    </row>
    <row r="38" spans="1:2" x14ac:dyDescent="0.25">
      <c r="A38" s="782"/>
      <c r="B38" s="784" t="str">
        <f>'Vettori energetici'!A16</f>
        <v>COSTO DELL'ENERGIA</v>
      </c>
    </row>
    <row r="39" spans="1:2" x14ac:dyDescent="0.25">
      <c r="A39" s="782" t="s">
        <v>266</v>
      </c>
      <c r="B39" s="783" t="s">
        <v>384</v>
      </c>
    </row>
    <row r="40" spans="1:2" ht="30" x14ac:dyDescent="0.25">
      <c r="A40" s="782"/>
      <c r="B40" s="783" t="s">
        <v>275</v>
      </c>
    </row>
    <row r="41" spans="1:2" x14ac:dyDescent="0.25">
      <c r="A41" s="782"/>
      <c r="B41" s="783" t="s">
        <v>268</v>
      </c>
    </row>
    <row r="42" spans="1:2" x14ac:dyDescent="0.25">
      <c r="A42" s="782"/>
      <c r="B42" s="783"/>
    </row>
    <row r="43" spans="1:2" x14ac:dyDescent="0.25">
      <c r="A43" s="782" t="s">
        <v>267</v>
      </c>
      <c r="B43" s="783" t="s">
        <v>270</v>
      </c>
    </row>
    <row r="44" spans="1:2" x14ac:dyDescent="0.25">
      <c r="A44" s="782"/>
      <c r="B44" s="783"/>
    </row>
    <row r="45" spans="1:2" x14ac:dyDescent="0.25">
      <c r="A45" s="782" t="s">
        <v>269</v>
      </c>
      <c r="B45" s="783" t="s">
        <v>374</v>
      </c>
    </row>
    <row r="46" spans="1:2" ht="15.75" thickBot="1" x14ac:dyDescent="0.3">
      <c r="A46" s="785"/>
      <c r="B46" s="786" t="s">
        <v>375</v>
      </c>
    </row>
    <row r="47" spans="1:2" ht="15.75" thickBot="1" x14ac:dyDescent="0.3"/>
    <row r="48" spans="1:2" ht="15.75" x14ac:dyDescent="0.25">
      <c r="A48" s="788" t="s">
        <v>500</v>
      </c>
      <c r="B48" s="787"/>
    </row>
    <row r="49" spans="1:2" x14ac:dyDescent="0.25">
      <c r="A49" s="782"/>
      <c r="B49" s="783"/>
    </row>
    <row r="50" spans="1:2" x14ac:dyDescent="0.25">
      <c r="A50" s="782" t="s">
        <v>294</v>
      </c>
      <c r="B50" s="784" t="s">
        <v>228</v>
      </c>
    </row>
    <row r="51" spans="1:2" x14ac:dyDescent="0.25">
      <c r="A51" s="782"/>
      <c r="B51" s="783" t="s">
        <v>386</v>
      </c>
    </row>
    <row r="52" spans="1:2" x14ac:dyDescent="0.25">
      <c r="A52" s="782"/>
      <c r="B52" s="783" t="s">
        <v>519</v>
      </c>
    </row>
    <row r="53" spans="1:2" x14ac:dyDescent="0.25">
      <c r="A53" s="782"/>
      <c r="B53" s="783"/>
    </row>
    <row r="54" spans="1:2" x14ac:dyDescent="0.25">
      <c r="A54" s="782" t="s">
        <v>295</v>
      </c>
      <c r="B54" s="784" t="s">
        <v>388</v>
      </c>
    </row>
    <row r="55" spans="1:2" x14ac:dyDescent="0.25">
      <c r="A55" s="782"/>
      <c r="B55" s="783" t="s">
        <v>389</v>
      </c>
    </row>
    <row r="56" spans="1:2" x14ac:dyDescent="0.25">
      <c r="A56" s="782"/>
      <c r="B56" s="783" t="s">
        <v>390</v>
      </c>
    </row>
    <row r="57" spans="1:2" x14ac:dyDescent="0.25">
      <c r="A57" s="782"/>
      <c r="B57" s="783"/>
    </row>
    <row r="58" spans="1:2" x14ac:dyDescent="0.25">
      <c r="A58" s="782" t="s">
        <v>296</v>
      </c>
      <c r="B58" s="784" t="s">
        <v>435</v>
      </c>
    </row>
    <row r="59" spans="1:2" x14ac:dyDescent="0.25">
      <c r="A59" s="782"/>
      <c r="B59" s="783" t="s">
        <v>391</v>
      </c>
    </row>
    <row r="60" spans="1:2" x14ac:dyDescent="0.25">
      <c r="A60" s="782"/>
      <c r="B60" s="783" t="s">
        <v>392</v>
      </c>
    </row>
    <row r="61" spans="1:2" x14ac:dyDescent="0.25">
      <c r="A61" s="782"/>
      <c r="B61" s="783"/>
    </row>
    <row r="62" spans="1:2" x14ac:dyDescent="0.25">
      <c r="A62" s="782" t="s">
        <v>297</v>
      </c>
      <c r="B62" s="784" t="s">
        <v>409</v>
      </c>
    </row>
    <row r="63" spans="1:2" s="160" customFormat="1" ht="30" x14ac:dyDescent="0.25">
      <c r="A63" s="789"/>
      <c r="B63" s="790" t="s">
        <v>436</v>
      </c>
    </row>
    <row r="64" spans="1:2" x14ac:dyDescent="0.25">
      <c r="A64" s="782"/>
      <c r="B64" s="783"/>
    </row>
    <row r="65" spans="1:2" x14ac:dyDescent="0.25">
      <c r="A65" s="782"/>
      <c r="B65" s="784" t="s">
        <v>410</v>
      </c>
    </row>
    <row r="66" spans="1:2" ht="60" x14ac:dyDescent="0.25">
      <c r="A66" s="782" t="s">
        <v>298</v>
      </c>
      <c r="B66" s="783" t="s">
        <v>437</v>
      </c>
    </row>
    <row r="67" spans="1:2" x14ac:dyDescent="0.25">
      <c r="A67" s="782"/>
      <c r="B67" s="783"/>
    </row>
    <row r="68" spans="1:2" x14ac:dyDescent="0.25">
      <c r="A68" s="782"/>
      <c r="B68" s="784" t="s">
        <v>411</v>
      </c>
    </row>
    <row r="69" spans="1:2" ht="60" x14ac:dyDescent="0.25">
      <c r="A69" s="782" t="s">
        <v>301</v>
      </c>
      <c r="B69" s="783" t="s">
        <v>438</v>
      </c>
    </row>
    <row r="70" spans="1:2" x14ac:dyDescent="0.25">
      <c r="A70" s="782"/>
      <c r="B70" s="783"/>
    </row>
    <row r="71" spans="1:2" x14ac:dyDescent="0.25">
      <c r="A71" s="782"/>
      <c r="B71" s="784" t="s">
        <v>420</v>
      </c>
    </row>
    <row r="72" spans="1:2" ht="15.75" thickBot="1" x14ac:dyDescent="0.3">
      <c r="A72" s="785" t="s">
        <v>300</v>
      </c>
      <c r="B72" s="786" t="s">
        <v>385</v>
      </c>
    </row>
    <row r="73" spans="1:2" ht="15.75" thickBot="1" x14ac:dyDescent="0.3"/>
    <row r="74" spans="1:2" ht="15.75" x14ac:dyDescent="0.25">
      <c r="A74" s="788" t="s">
        <v>145</v>
      </c>
      <c r="B74" s="787"/>
    </row>
    <row r="75" spans="1:2" x14ac:dyDescent="0.25">
      <c r="A75" s="782"/>
      <c r="B75" s="783"/>
    </row>
    <row r="76" spans="1:2" x14ac:dyDescent="0.25">
      <c r="A76" s="782"/>
      <c r="B76" s="784" t="s">
        <v>108</v>
      </c>
    </row>
    <row r="77" spans="1:2" ht="30.75" thickBot="1" x14ac:dyDescent="0.3">
      <c r="A77" s="785" t="s">
        <v>299</v>
      </c>
      <c r="B77" s="786" t="s">
        <v>441</v>
      </c>
    </row>
    <row r="78" spans="1:2" ht="15.75" thickBot="1" x14ac:dyDescent="0.3"/>
    <row r="79" spans="1:2" ht="15.75" x14ac:dyDescent="0.25">
      <c r="A79" s="788" t="s">
        <v>3</v>
      </c>
      <c r="B79" s="787"/>
    </row>
    <row r="80" spans="1:2" x14ac:dyDescent="0.25">
      <c r="A80" s="782"/>
      <c r="B80" s="783"/>
    </row>
    <row r="81" spans="1:2" x14ac:dyDescent="0.25">
      <c r="A81" s="782"/>
      <c r="B81" s="784" t="s">
        <v>393</v>
      </c>
    </row>
    <row r="82" spans="1:2" x14ac:dyDescent="0.25">
      <c r="A82" s="782" t="s">
        <v>302</v>
      </c>
      <c r="B82" s="783" t="s">
        <v>394</v>
      </c>
    </row>
    <row r="83" spans="1:2" x14ac:dyDescent="0.25">
      <c r="A83" s="782"/>
      <c r="B83" s="783" t="s">
        <v>395</v>
      </c>
    </row>
    <row r="84" spans="1:2" ht="15.75" thickBot="1" x14ac:dyDescent="0.3">
      <c r="A84" s="785"/>
      <c r="B84" s="786" t="s">
        <v>396</v>
      </c>
    </row>
    <row r="85" spans="1:2" ht="15.75" thickBot="1" x14ac:dyDescent="0.3"/>
    <row r="86" spans="1:2" ht="15.75" x14ac:dyDescent="0.25">
      <c r="A86" s="788" t="s">
        <v>114</v>
      </c>
      <c r="B86" s="787"/>
    </row>
    <row r="87" spans="1:2" x14ac:dyDescent="0.25">
      <c r="A87" s="782"/>
      <c r="B87" s="783"/>
    </row>
    <row r="88" spans="1:2" x14ac:dyDescent="0.25">
      <c r="A88" s="782"/>
      <c r="B88" s="784" t="s">
        <v>114</v>
      </c>
    </row>
    <row r="89" spans="1:2" x14ac:dyDescent="0.25">
      <c r="A89" s="782"/>
      <c r="B89" s="783" t="s">
        <v>440</v>
      </c>
    </row>
    <row r="90" spans="1:2" x14ac:dyDescent="0.25">
      <c r="A90" s="782"/>
      <c r="B90" s="783"/>
    </row>
    <row r="91" spans="1:2" x14ac:dyDescent="0.25">
      <c r="A91" s="782" t="s">
        <v>303</v>
      </c>
      <c r="B91" s="784" t="s">
        <v>309</v>
      </c>
    </row>
    <row r="92" spans="1:2" x14ac:dyDescent="0.25">
      <c r="A92" s="782"/>
      <c r="B92" s="783" t="s">
        <v>444</v>
      </c>
    </row>
    <row r="93" spans="1:2" x14ac:dyDescent="0.25">
      <c r="A93" s="782"/>
      <c r="B93" s="783"/>
    </row>
    <row r="94" spans="1:2" x14ac:dyDescent="0.25">
      <c r="A94" s="782" t="s">
        <v>304</v>
      </c>
      <c r="B94" s="784" t="s">
        <v>388</v>
      </c>
    </row>
    <row r="95" spans="1:2" x14ac:dyDescent="0.25">
      <c r="A95" s="782"/>
      <c r="B95" s="783" t="s">
        <v>444</v>
      </c>
    </row>
    <row r="96" spans="1:2" x14ac:dyDescent="0.25">
      <c r="A96" s="782"/>
      <c r="B96" s="783"/>
    </row>
    <row r="97" spans="1:2" x14ac:dyDescent="0.25">
      <c r="A97" s="782" t="s">
        <v>305</v>
      </c>
      <c r="B97" s="784" t="s">
        <v>229</v>
      </c>
    </row>
    <row r="98" spans="1:2" x14ac:dyDescent="0.25">
      <c r="A98" s="782"/>
      <c r="B98" s="783" t="s">
        <v>445</v>
      </c>
    </row>
    <row r="99" spans="1:2" x14ac:dyDescent="0.25">
      <c r="A99" s="782"/>
      <c r="B99" s="783"/>
    </row>
    <row r="100" spans="1:2" x14ac:dyDescent="0.25">
      <c r="A100" s="782" t="s">
        <v>306</v>
      </c>
      <c r="B100" s="784" t="s">
        <v>12</v>
      </c>
    </row>
    <row r="101" spans="1:2" x14ac:dyDescent="0.25">
      <c r="A101" s="782"/>
      <c r="B101" s="783" t="s">
        <v>581</v>
      </c>
    </row>
    <row r="102" spans="1:2" x14ac:dyDescent="0.25">
      <c r="A102" s="782"/>
      <c r="B102" s="783"/>
    </row>
    <row r="103" spans="1:2" x14ac:dyDescent="0.25">
      <c r="A103" s="782" t="s">
        <v>307</v>
      </c>
      <c r="B103" s="784" t="s">
        <v>442</v>
      </c>
    </row>
    <row r="104" spans="1:2" ht="30" x14ac:dyDescent="0.25">
      <c r="A104" s="782"/>
      <c r="B104" s="783" t="s">
        <v>582</v>
      </c>
    </row>
    <row r="105" spans="1:2" x14ac:dyDescent="0.25">
      <c r="A105" s="782"/>
      <c r="B105" s="783"/>
    </row>
    <row r="106" spans="1:2" x14ac:dyDescent="0.25">
      <c r="A106" s="782" t="s">
        <v>308</v>
      </c>
      <c r="B106" s="784" t="s">
        <v>443</v>
      </c>
    </row>
    <row r="107" spans="1:2" ht="15.75" thickBot="1" x14ac:dyDescent="0.3">
      <c r="A107" s="785"/>
      <c r="B107" s="786" t="s">
        <v>446</v>
      </c>
    </row>
    <row r="108" spans="1:2" ht="15.75" thickBot="1" x14ac:dyDescent="0.3"/>
    <row r="109" spans="1:2" ht="15.75" x14ac:dyDescent="0.25">
      <c r="A109" s="788" t="s">
        <v>314</v>
      </c>
      <c r="B109" s="787"/>
    </row>
    <row r="110" spans="1:2" x14ac:dyDescent="0.25">
      <c r="A110" s="782"/>
      <c r="B110" s="783"/>
    </row>
    <row r="111" spans="1:2" x14ac:dyDescent="0.25">
      <c r="A111" s="782"/>
      <c r="B111" s="783" t="s">
        <v>315</v>
      </c>
    </row>
    <row r="112" spans="1:2" x14ac:dyDescent="0.25">
      <c r="A112" s="782" t="s">
        <v>310</v>
      </c>
      <c r="B112" s="784" t="s">
        <v>447</v>
      </c>
    </row>
    <row r="113" spans="1:2" ht="30" x14ac:dyDescent="0.25">
      <c r="A113" s="782"/>
      <c r="B113" s="783" t="s">
        <v>448</v>
      </c>
    </row>
    <row r="114" spans="1:2" x14ac:dyDescent="0.25">
      <c r="A114" s="782"/>
      <c r="B114" s="783"/>
    </row>
    <row r="115" spans="1:2" x14ac:dyDescent="0.25">
      <c r="A115" s="782" t="s">
        <v>311</v>
      </c>
      <c r="B115" s="784" t="s">
        <v>318</v>
      </c>
    </row>
    <row r="116" spans="1:2" x14ac:dyDescent="0.25">
      <c r="A116" s="782"/>
      <c r="B116" s="783" t="s">
        <v>449</v>
      </c>
    </row>
    <row r="117" spans="1:2" x14ac:dyDescent="0.25">
      <c r="A117" s="782"/>
      <c r="B117" s="783"/>
    </row>
    <row r="118" spans="1:2" x14ac:dyDescent="0.25">
      <c r="A118" s="782" t="s">
        <v>312</v>
      </c>
      <c r="B118" s="784" t="s">
        <v>319</v>
      </c>
    </row>
    <row r="119" spans="1:2" x14ac:dyDescent="0.25">
      <c r="A119" s="782"/>
      <c r="B119" s="783" t="s">
        <v>450</v>
      </c>
    </row>
    <row r="120" spans="1:2" x14ac:dyDescent="0.25">
      <c r="A120" s="782"/>
      <c r="B120" s="783"/>
    </row>
    <row r="121" spans="1:2" x14ac:dyDescent="0.25">
      <c r="A121" s="782" t="s">
        <v>313</v>
      </c>
      <c r="B121" s="784" t="s">
        <v>320</v>
      </c>
    </row>
    <row r="122" spans="1:2" x14ac:dyDescent="0.25">
      <c r="A122" s="782"/>
      <c r="B122" s="783" t="s">
        <v>451</v>
      </c>
    </row>
    <row r="123" spans="1:2" x14ac:dyDescent="0.25">
      <c r="A123" s="782"/>
      <c r="B123" s="783"/>
    </row>
    <row r="124" spans="1:2" x14ac:dyDescent="0.25">
      <c r="A124" s="782" t="s">
        <v>321</v>
      </c>
      <c r="B124" s="784" t="s">
        <v>322</v>
      </c>
    </row>
    <row r="125" spans="1:2" ht="15.75" thickBot="1" x14ac:dyDescent="0.3">
      <c r="A125" s="785"/>
      <c r="B125" s="786" t="s">
        <v>452</v>
      </c>
    </row>
    <row r="126" spans="1:2" ht="15.75" thickBot="1" x14ac:dyDescent="0.3"/>
    <row r="127" spans="1:2" ht="15.75" x14ac:dyDescent="0.25">
      <c r="A127" s="788" t="s">
        <v>317</v>
      </c>
      <c r="B127" s="787"/>
    </row>
    <row r="128" spans="1:2" x14ac:dyDescent="0.25">
      <c r="A128" s="782"/>
      <c r="B128" s="783"/>
    </row>
    <row r="129" spans="1:2" x14ac:dyDescent="0.25">
      <c r="A129" s="782" t="s">
        <v>316</v>
      </c>
      <c r="B129" s="784" t="s">
        <v>317</v>
      </c>
    </row>
    <row r="130" spans="1:2" x14ac:dyDescent="0.25">
      <c r="A130" s="782"/>
      <c r="B130" s="783" t="s">
        <v>497</v>
      </c>
    </row>
    <row r="131" spans="1:2" ht="15.75" thickBot="1" x14ac:dyDescent="0.3">
      <c r="A131" s="785"/>
      <c r="B131" s="786" t="s">
        <v>498</v>
      </c>
    </row>
    <row r="132" spans="1:2" ht="15.75" thickBot="1" x14ac:dyDescent="0.3"/>
    <row r="133" spans="1:2" ht="15.75" x14ac:dyDescent="0.25">
      <c r="A133" s="788" t="s">
        <v>331</v>
      </c>
      <c r="B133" s="787"/>
    </row>
    <row r="134" spans="1:2" x14ac:dyDescent="0.25">
      <c r="A134" s="782"/>
      <c r="B134" s="783"/>
    </row>
    <row r="135" spans="1:2" x14ac:dyDescent="0.25">
      <c r="A135" s="782" t="s">
        <v>325</v>
      </c>
      <c r="B135" s="784" t="s">
        <v>44</v>
      </c>
    </row>
    <row r="136" spans="1:2" ht="30" x14ac:dyDescent="0.25">
      <c r="A136" s="782"/>
      <c r="B136" s="783" t="s">
        <v>453</v>
      </c>
    </row>
    <row r="137" spans="1:2" x14ac:dyDescent="0.25">
      <c r="A137" s="782"/>
      <c r="B137" s="783"/>
    </row>
    <row r="138" spans="1:2" ht="15.75" thickBot="1" x14ac:dyDescent="0.3">
      <c r="A138" s="785" t="s">
        <v>326</v>
      </c>
      <c r="B138" s="786" t="s">
        <v>454</v>
      </c>
    </row>
    <row r="139" spans="1:2" ht="15.75" thickBot="1" x14ac:dyDescent="0.3"/>
    <row r="140" spans="1:2" ht="15.75" x14ac:dyDescent="0.25">
      <c r="A140" s="788" t="s">
        <v>332</v>
      </c>
      <c r="B140" s="787"/>
    </row>
    <row r="141" spans="1:2" x14ac:dyDescent="0.25">
      <c r="A141" s="782"/>
      <c r="B141" s="783"/>
    </row>
    <row r="142" spans="1:2" x14ac:dyDescent="0.25">
      <c r="A142" s="782" t="s">
        <v>299</v>
      </c>
      <c r="B142" s="784" t="s">
        <v>332</v>
      </c>
    </row>
    <row r="143" spans="1:2" ht="30.75" thickBot="1" x14ac:dyDescent="0.3">
      <c r="A143" s="785"/>
      <c r="B143" s="786" t="s">
        <v>499</v>
      </c>
    </row>
    <row r="144" spans="1:2" ht="15.75" thickBot="1" x14ac:dyDescent="0.3"/>
    <row r="145" spans="1:2" ht="15.75" x14ac:dyDescent="0.25">
      <c r="A145" s="788" t="s">
        <v>333</v>
      </c>
      <c r="B145" s="787"/>
    </row>
    <row r="146" spans="1:2" x14ac:dyDescent="0.25">
      <c r="A146" s="782"/>
      <c r="B146" s="783"/>
    </row>
    <row r="147" spans="1:2" x14ac:dyDescent="0.25">
      <c r="A147" s="782"/>
      <c r="B147" s="784" t="s">
        <v>235</v>
      </c>
    </row>
    <row r="148" spans="1:2" x14ac:dyDescent="0.25">
      <c r="A148" s="782"/>
      <c r="B148" s="783"/>
    </row>
    <row r="149" spans="1:2" x14ac:dyDescent="0.25">
      <c r="A149" s="782" t="s">
        <v>302</v>
      </c>
      <c r="B149" s="784" t="s">
        <v>216</v>
      </c>
    </row>
    <row r="150" spans="1:2" ht="45" x14ac:dyDescent="0.25">
      <c r="A150" s="782"/>
      <c r="B150" s="790" t="s">
        <v>589</v>
      </c>
    </row>
    <row r="151" spans="1:2" x14ac:dyDescent="0.25">
      <c r="A151" s="782"/>
      <c r="B151" s="783"/>
    </row>
    <row r="152" spans="1:2" x14ac:dyDescent="0.25">
      <c r="A152" s="782"/>
      <c r="B152" s="784" t="s">
        <v>218</v>
      </c>
    </row>
    <row r="153" spans="1:2" ht="30" x14ac:dyDescent="0.25">
      <c r="A153" s="782" t="s">
        <v>334</v>
      </c>
      <c r="B153" s="783" t="s">
        <v>587</v>
      </c>
    </row>
    <row r="154" spans="1:2" x14ac:dyDescent="0.25">
      <c r="A154" s="782"/>
      <c r="B154" s="783"/>
    </row>
    <row r="155" spans="1:2" x14ac:dyDescent="0.25">
      <c r="A155" s="782" t="s">
        <v>335</v>
      </c>
      <c r="B155" s="783" t="s">
        <v>455</v>
      </c>
    </row>
    <row r="156" spans="1:2" x14ac:dyDescent="0.25">
      <c r="A156" s="782"/>
      <c r="B156" s="783"/>
    </row>
    <row r="157" spans="1:2" x14ac:dyDescent="0.25">
      <c r="A157" s="782" t="s">
        <v>336</v>
      </c>
      <c r="B157" s="783" t="s">
        <v>456</v>
      </c>
    </row>
    <row r="158" spans="1:2" x14ac:dyDescent="0.25">
      <c r="A158" s="782"/>
      <c r="B158" s="783"/>
    </row>
    <row r="159" spans="1:2" x14ac:dyDescent="0.25">
      <c r="A159" s="782" t="s">
        <v>337</v>
      </c>
      <c r="B159" s="783" t="s">
        <v>457</v>
      </c>
    </row>
    <row r="160" spans="1:2" x14ac:dyDescent="0.25">
      <c r="A160" s="782"/>
      <c r="B160" s="783"/>
    </row>
    <row r="161" spans="1:2" x14ac:dyDescent="0.25">
      <c r="A161" s="782" t="s">
        <v>338</v>
      </c>
      <c r="B161" s="783" t="s">
        <v>458</v>
      </c>
    </row>
    <row r="162" spans="1:2" x14ac:dyDescent="0.25">
      <c r="A162" s="782"/>
      <c r="B162" s="783"/>
    </row>
    <row r="163" spans="1:2" x14ac:dyDescent="0.25">
      <c r="A163" s="782"/>
      <c r="B163" s="784" t="s">
        <v>459</v>
      </c>
    </row>
    <row r="164" spans="1:2" x14ac:dyDescent="0.25">
      <c r="A164" s="782" t="s">
        <v>339</v>
      </c>
      <c r="B164" s="783" t="s">
        <v>462</v>
      </c>
    </row>
    <row r="165" spans="1:2" x14ac:dyDescent="0.25">
      <c r="A165" s="782"/>
      <c r="B165" s="783"/>
    </row>
    <row r="166" spans="1:2" ht="30" x14ac:dyDescent="0.25">
      <c r="A166" s="782" t="s">
        <v>340</v>
      </c>
      <c r="B166" s="783" t="s">
        <v>460</v>
      </c>
    </row>
    <row r="167" spans="1:2" x14ac:dyDescent="0.25">
      <c r="A167" s="782"/>
      <c r="B167" s="783"/>
    </row>
    <row r="168" spans="1:2" x14ac:dyDescent="0.25">
      <c r="A168" s="782" t="s">
        <v>341</v>
      </c>
      <c r="B168" s="783" t="s">
        <v>588</v>
      </c>
    </row>
    <row r="169" spans="1:2" x14ac:dyDescent="0.25">
      <c r="A169" s="782"/>
      <c r="B169" s="783"/>
    </row>
    <row r="170" spans="1:2" ht="30" x14ac:dyDescent="0.25">
      <c r="A170" s="782" t="s">
        <v>342</v>
      </c>
      <c r="B170" s="783" t="s">
        <v>461</v>
      </c>
    </row>
    <row r="171" spans="1:2" x14ac:dyDescent="0.25">
      <c r="A171" s="782"/>
      <c r="B171" s="783"/>
    </row>
    <row r="172" spans="1:2" x14ac:dyDescent="0.25">
      <c r="A172" s="782" t="s">
        <v>343</v>
      </c>
      <c r="B172" s="783" t="s">
        <v>463</v>
      </c>
    </row>
    <row r="173" spans="1:2" x14ac:dyDescent="0.25">
      <c r="A173" s="782"/>
      <c r="B173" s="783"/>
    </row>
    <row r="174" spans="1:2" x14ac:dyDescent="0.25">
      <c r="A174" s="782"/>
      <c r="B174" s="784" t="s">
        <v>466</v>
      </c>
    </row>
    <row r="175" spans="1:2" x14ac:dyDescent="0.25">
      <c r="A175" s="782" t="s">
        <v>344</v>
      </c>
      <c r="B175" s="783" t="s">
        <v>467</v>
      </c>
    </row>
    <row r="176" spans="1:2" x14ac:dyDescent="0.25">
      <c r="A176" s="782"/>
      <c r="B176" s="783"/>
    </row>
    <row r="177" spans="1:2" x14ac:dyDescent="0.25">
      <c r="A177" s="782" t="s">
        <v>345</v>
      </c>
      <c r="B177" s="783" t="s">
        <v>468</v>
      </c>
    </row>
    <row r="178" spans="1:2" x14ac:dyDescent="0.25">
      <c r="A178" s="782"/>
      <c r="B178" s="783"/>
    </row>
    <row r="179" spans="1:2" x14ac:dyDescent="0.25">
      <c r="A179" s="782" t="s">
        <v>346</v>
      </c>
      <c r="B179" s="783" t="s">
        <v>469</v>
      </c>
    </row>
    <row r="180" spans="1:2" x14ac:dyDescent="0.25">
      <c r="A180" s="782"/>
      <c r="B180" s="783"/>
    </row>
    <row r="181" spans="1:2" ht="30" x14ac:dyDescent="0.25">
      <c r="A181" s="782" t="s">
        <v>347</v>
      </c>
      <c r="B181" s="783" t="s">
        <v>470</v>
      </c>
    </row>
    <row r="182" spans="1:2" x14ac:dyDescent="0.25">
      <c r="A182" s="782"/>
      <c r="B182" s="783"/>
    </row>
    <row r="183" spans="1:2" ht="30" x14ac:dyDescent="0.25">
      <c r="A183" s="782" t="s">
        <v>348</v>
      </c>
      <c r="B183" s="783" t="s">
        <v>471</v>
      </c>
    </row>
    <row r="184" spans="1:2" x14ac:dyDescent="0.25">
      <c r="A184" s="782"/>
      <c r="B184" s="783"/>
    </row>
    <row r="185" spans="1:2" x14ac:dyDescent="0.25">
      <c r="A185" s="782"/>
      <c r="B185" s="784" t="s">
        <v>472</v>
      </c>
    </row>
    <row r="186" spans="1:2" ht="15.75" thickBot="1" x14ac:dyDescent="0.3">
      <c r="A186" s="785" t="s">
        <v>349</v>
      </c>
      <c r="B186" s="786" t="s">
        <v>473</v>
      </c>
    </row>
  </sheetData>
  <sheetProtection password="C632" sheet="1" objects="1" scenarios="1"/>
  <phoneticPr fontId="34" type="noConversion"/>
  <hyperlinks>
    <hyperlink ref="B5" location="' Dati tecnici e stima domanda'!B4" display="' Dati tecnici e stima domanda'!B4"/>
    <hyperlink ref="B11" location="' Dati tecnici e stima domanda'!B15" display="' Dati tecnici e stima domanda'!B15"/>
    <hyperlink ref="B17" location="' Dati tecnici e stima domanda'!B27" display="' Dati tecnici e stima domanda'!B27"/>
    <hyperlink ref="B23" location="' Dati tecnici e stima domanda'!B45" display="' Dati tecnici e stima domanda'!B45"/>
    <hyperlink ref="B28" location="' Dati tecnici e stima domanda'!B56" display="' Dati tecnici e stima domanda'!B56"/>
    <hyperlink ref="B32" location="' Dati tecnici e stima domanda'!B66" display="' Dati tecnici e stima domanda'!B66"/>
    <hyperlink ref="B38" location="'Vettori energetici'!A16" display="'Vettori energetici'!A16"/>
    <hyperlink ref="B50" location="Investimenti!B7:C7" display="Centrale"/>
    <hyperlink ref="B54" location="Investimenti!B24:C24" display="Distribuzione calore"/>
    <hyperlink ref="B58" location="Investimenti!B40:C40" display="Onorari  e altri costi"/>
    <hyperlink ref="B76" location="Incentivi!B1" display="INCENTIVI"/>
    <hyperlink ref="B81" location="Personale!B1" display="PERSONALE"/>
    <hyperlink ref="B62" location="Investimenti!L5" display="Capitali impiegati"/>
    <hyperlink ref="B65" location="Investimenti!L10" display="Capitale proprio"/>
    <hyperlink ref="B68" location="Investimenti!L15" display="Capitale di terzi"/>
    <hyperlink ref="B71" location="Investimenti!L19" display="Onorari professionali"/>
    <hyperlink ref="B88" location="Costi!B1" display="COSTI"/>
    <hyperlink ref="B91" location="Costi!B4" display="Impianto"/>
    <hyperlink ref="B94" location="Costi!C21" display="Distribuzione calore"/>
    <hyperlink ref="B97" location="Costi!B29" display="Altri costi"/>
    <hyperlink ref="B100" location="Costi!B33" display="Vettori energetici"/>
    <hyperlink ref="B103" location="Costi!B37" display="Costo di produzione unitario "/>
    <hyperlink ref="B106" location="Costi!B41" display="Costo di produzione unitario al netto di contributi pubblici"/>
    <hyperlink ref="B112" location="'Prezzi e Ricavi'!B3" display="Prezzo di vendita del calore"/>
    <hyperlink ref="B115" location="'Prezzi e Ricavi'!B4" display="Prezzo di vendita energia elettrica da cogenerazione"/>
    <hyperlink ref="B118" location="'Prezzi e Ricavi'!B5" display="Tassa allacciamento utenti (una tantum)"/>
    <hyperlink ref="B121" location="'Prezzi e Ricavi'!B6" display="Costo annuo degli abbonamenti"/>
    <hyperlink ref="B124" location="'Prezzi e Ricavi'!B9" display="Ricavi annuali"/>
    <hyperlink ref="B129" location="'Indicatori tecnici'!B1" display="Indicatori tecnici"/>
    <hyperlink ref="B142" location="'Indicatori ambientali'!B1" display="Indicatori ambientali"/>
    <hyperlink ref="B135" location="'Indicatori economici'!B8" display="indicatori efficienza economica"/>
    <hyperlink ref="B147" location="'Business Plan'!B1" display="REDDITIVITA' DEL PROGETTO"/>
    <hyperlink ref="B149" location="'Business Plan'!B4" display="Tasso di attualizzazione"/>
    <hyperlink ref="B152" location="'Business Plan'!B7" display="Uscite"/>
    <hyperlink ref="B163" location="'Business Plan'!B31" display="Entrate"/>
    <hyperlink ref="B174" location="'Business Plan'!B42" display="Redditività senza incentivi"/>
    <hyperlink ref="B185" location="'Business Plan'!B49" display="Redditività con incentivi"/>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7"/>
  <sheetViews>
    <sheetView topLeftCell="A16" workbookViewId="0">
      <selection activeCell="G23" sqref="G23"/>
    </sheetView>
  </sheetViews>
  <sheetFormatPr defaultRowHeight="12.75" x14ac:dyDescent="0.2"/>
  <cols>
    <col min="1" max="1" width="4.140625" style="196" customWidth="1"/>
    <col min="2" max="2" width="46" style="196" bestFit="1" customWidth="1"/>
    <col min="3" max="3" width="11.42578125" style="194" customWidth="1"/>
    <col min="4" max="4" width="15.7109375" style="195" bestFit="1" customWidth="1"/>
    <col min="5" max="5" width="6" style="196" bestFit="1" customWidth="1"/>
    <col min="6" max="6" width="9.140625" style="196"/>
    <col min="7" max="7" width="9.140625" style="196" customWidth="1"/>
    <col min="8" max="10" width="9.140625" style="196"/>
    <col min="11" max="11" width="14" style="196" bestFit="1" customWidth="1"/>
    <col min="12" max="16384" width="9.140625" style="196"/>
  </cols>
  <sheetData>
    <row r="1" spans="1:22" ht="16.5" thickBot="1" x14ac:dyDescent="0.3">
      <c r="A1" s="193"/>
      <c r="B1" s="290" t="s">
        <v>115</v>
      </c>
    </row>
    <row r="2" spans="1:22" ht="16.5" thickBot="1" x14ac:dyDescent="0.3">
      <c r="I2" s="325" t="s">
        <v>511</v>
      </c>
      <c r="J2" s="326"/>
      <c r="K2" s="327"/>
    </row>
    <row r="3" spans="1:22" ht="13.5" thickBot="1" x14ac:dyDescent="0.25">
      <c r="A3" s="197" t="s">
        <v>36</v>
      </c>
      <c r="B3" s="328"/>
      <c r="C3" s="329"/>
      <c r="D3" s="330"/>
      <c r="I3" s="331" t="s">
        <v>506</v>
      </c>
      <c r="J3" s="332"/>
      <c r="K3" s="332"/>
      <c r="L3" s="332"/>
      <c r="M3" s="332"/>
      <c r="N3" s="332"/>
      <c r="O3" s="332"/>
      <c r="P3" s="332"/>
      <c r="Q3" s="332"/>
      <c r="R3" s="332"/>
      <c r="S3" s="332"/>
      <c r="T3" s="332"/>
      <c r="U3" s="332"/>
      <c r="V3" s="333"/>
    </row>
    <row r="4" spans="1:22" ht="15.75" thickBot="1" x14ac:dyDescent="0.3">
      <c r="A4" s="198" t="s">
        <v>242</v>
      </c>
      <c r="B4" s="334" t="s">
        <v>104</v>
      </c>
      <c r="I4" s="315"/>
      <c r="J4" s="316"/>
      <c r="K4" s="316"/>
      <c r="L4" s="316"/>
      <c r="M4" s="316"/>
      <c r="N4" s="316"/>
      <c r="O4" s="316"/>
      <c r="P4" s="316"/>
      <c r="Q4" s="316"/>
      <c r="R4" s="316"/>
      <c r="S4" s="316"/>
      <c r="T4" s="316"/>
      <c r="U4" s="316"/>
      <c r="V4" s="317"/>
    </row>
    <row r="5" spans="1:22" x14ac:dyDescent="0.2">
      <c r="B5" s="335" t="s">
        <v>98</v>
      </c>
      <c r="C5" s="336" t="s">
        <v>7</v>
      </c>
      <c r="D5" s="199">
        <f>SUM(D6:D7)</f>
        <v>0</v>
      </c>
      <c r="H5" s="296"/>
      <c r="I5" s="318"/>
      <c r="J5" s="319"/>
      <c r="K5" s="319"/>
      <c r="L5" s="319"/>
      <c r="M5" s="319"/>
      <c r="N5" s="319"/>
      <c r="O5" s="319"/>
      <c r="P5" s="319"/>
      <c r="Q5" s="319"/>
      <c r="R5" s="319"/>
      <c r="S5" s="319"/>
      <c r="T5" s="319"/>
      <c r="U5" s="319"/>
      <c r="V5" s="320"/>
    </row>
    <row r="6" spans="1:22" x14ac:dyDescent="0.2">
      <c r="B6" s="337" t="s">
        <v>253</v>
      </c>
      <c r="C6" s="338" t="s">
        <v>7</v>
      </c>
      <c r="D6" s="132">
        <v>0</v>
      </c>
      <c r="H6" s="296"/>
      <c r="I6" s="339" t="s">
        <v>507</v>
      </c>
      <c r="J6" s="340"/>
      <c r="K6" s="341"/>
      <c r="L6" s="341"/>
      <c r="M6" s="341"/>
      <c r="N6" s="341"/>
      <c r="O6" s="341"/>
      <c r="P6" s="341"/>
      <c r="Q6" s="341"/>
      <c r="R6" s="341"/>
      <c r="S6" s="341"/>
      <c r="T6" s="341"/>
      <c r="U6" s="341"/>
      <c r="V6" s="342"/>
    </row>
    <row r="7" spans="1:22" x14ac:dyDescent="0.2">
      <c r="B7" s="337" t="s">
        <v>254</v>
      </c>
      <c r="C7" s="338" t="s">
        <v>7</v>
      </c>
      <c r="D7" s="132">
        <v>0</v>
      </c>
      <c r="H7" s="296"/>
      <c r="I7" s="321"/>
      <c r="J7" s="322"/>
      <c r="K7" s="322"/>
      <c r="L7" s="322"/>
      <c r="M7" s="322"/>
      <c r="N7" s="322"/>
      <c r="O7" s="322"/>
      <c r="P7" s="322"/>
      <c r="Q7" s="322"/>
      <c r="R7" s="322"/>
      <c r="S7" s="322"/>
      <c r="T7" s="322"/>
      <c r="U7" s="322"/>
      <c r="V7" s="323"/>
    </row>
    <row r="8" spans="1:22" x14ac:dyDescent="0.2">
      <c r="B8" s="337" t="s">
        <v>97</v>
      </c>
      <c r="C8" s="338" t="s">
        <v>7</v>
      </c>
      <c r="D8" s="132">
        <v>0</v>
      </c>
      <c r="H8" s="296"/>
      <c r="I8" s="318"/>
      <c r="J8" s="319"/>
      <c r="K8" s="319"/>
      <c r="L8" s="319"/>
      <c r="M8" s="319"/>
      <c r="N8" s="319"/>
      <c r="O8" s="319"/>
      <c r="P8" s="319"/>
      <c r="Q8" s="319"/>
      <c r="R8" s="319"/>
      <c r="S8" s="319"/>
      <c r="T8" s="319"/>
      <c r="U8" s="319"/>
      <c r="V8" s="320"/>
    </row>
    <row r="9" spans="1:22" x14ac:dyDescent="0.2">
      <c r="B9" s="337" t="s">
        <v>401</v>
      </c>
      <c r="C9" s="338" t="s">
        <v>93</v>
      </c>
      <c r="D9" s="132">
        <v>0</v>
      </c>
      <c r="I9" s="339" t="s">
        <v>508</v>
      </c>
      <c r="J9" s="341"/>
      <c r="K9" s="341"/>
      <c r="L9" s="341"/>
      <c r="M9" s="341"/>
      <c r="N9" s="341"/>
      <c r="O9" s="341"/>
      <c r="P9" s="341"/>
      <c r="Q9" s="341"/>
      <c r="R9" s="341"/>
      <c r="S9" s="341"/>
      <c r="T9" s="341"/>
      <c r="U9" s="341"/>
      <c r="V9" s="342"/>
    </row>
    <row r="10" spans="1:22" x14ac:dyDescent="0.2">
      <c r="B10" s="337" t="s">
        <v>369</v>
      </c>
      <c r="C10" s="338" t="s">
        <v>93</v>
      </c>
      <c r="D10" s="132">
        <v>0</v>
      </c>
      <c r="I10" s="321"/>
      <c r="J10" s="322"/>
      <c r="K10" s="322"/>
      <c r="L10" s="322"/>
      <c r="M10" s="322"/>
      <c r="N10" s="322"/>
      <c r="O10" s="322"/>
      <c r="P10" s="322"/>
      <c r="Q10" s="322"/>
      <c r="R10" s="322"/>
      <c r="S10" s="322"/>
      <c r="T10" s="322"/>
      <c r="U10" s="322"/>
      <c r="V10" s="323"/>
    </row>
    <row r="11" spans="1:22" x14ac:dyDescent="0.2">
      <c r="B11" s="343" t="s">
        <v>403</v>
      </c>
      <c r="C11" s="344" t="s">
        <v>38</v>
      </c>
      <c r="D11" s="150">
        <v>0</v>
      </c>
      <c r="I11" s="318"/>
      <c r="J11" s="319"/>
      <c r="K11" s="319"/>
      <c r="L11" s="319"/>
      <c r="M11" s="319"/>
      <c r="N11" s="319"/>
      <c r="O11" s="319"/>
      <c r="P11" s="319"/>
      <c r="Q11" s="319"/>
      <c r="R11" s="319"/>
      <c r="S11" s="319"/>
      <c r="T11" s="319"/>
      <c r="U11" s="319"/>
      <c r="V11" s="320"/>
    </row>
    <row r="12" spans="1:22" x14ac:dyDescent="0.2">
      <c r="B12" s="343" t="s">
        <v>404</v>
      </c>
      <c r="C12" s="344" t="s">
        <v>38</v>
      </c>
      <c r="D12" s="150">
        <v>0</v>
      </c>
      <c r="H12" s="296"/>
      <c r="I12" s="345" t="s">
        <v>509</v>
      </c>
      <c r="J12" s="340"/>
      <c r="K12" s="316"/>
      <c r="L12" s="316"/>
      <c r="M12" s="316"/>
      <c r="N12" s="316"/>
      <c r="O12" s="316"/>
      <c r="P12" s="316"/>
      <c r="Q12" s="316"/>
      <c r="R12" s="316"/>
      <c r="S12" s="316"/>
      <c r="T12" s="316"/>
      <c r="U12" s="316"/>
      <c r="V12" s="317"/>
    </row>
    <row r="13" spans="1:22" ht="13.5" thickBot="1" x14ac:dyDescent="0.25">
      <c r="B13" s="346" t="s">
        <v>402</v>
      </c>
      <c r="C13" s="347" t="s">
        <v>38</v>
      </c>
      <c r="D13" s="148">
        <f>D11+D12</f>
        <v>0</v>
      </c>
      <c r="H13" s="296"/>
      <c r="I13" s="348" t="s">
        <v>510</v>
      </c>
      <c r="J13" s="349"/>
      <c r="K13" s="324"/>
      <c r="L13" s="319"/>
      <c r="M13" s="319"/>
      <c r="N13" s="319"/>
      <c r="O13" s="319"/>
      <c r="P13" s="319"/>
      <c r="Q13" s="319"/>
      <c r="R13" s="319"/>
      <c r="S13" s="319"/>
      <c r="T13" s="319"/>
      <c r="U13" s="319"/>
      <c r="V13" s="320"/>
    </row>
    <row r="14" spans="1:22" x14ac:dyDescent="0.2">
      <c r="H14" s="296"/>
    </row>
    <row r="15" spans="1:22" ht="15.75" thickBot="1" x14ac:dyDescent="0.3">
      <c r="A15" s="198" t="s">
        <v>243</v>
      </c>
      <c r="B15" s="334" t="s">
        <v>103</v>
      </c>
    </row>
    <row r="16" spans="1:22" x14ac:dyDescent="0.2">
      <c r="B16" s="335" t="s">
        <v>5</v>
      </c>
      <c r="C16" s="336" t="s">
        <v>6</v>
      </c>
      <c r="D16" s="133">
        <v>0</v>
      </c>
    </row>
    <row r="17" spans="1:7" x14ac:dyDescent="0.2">
      <c r="B17" s="337" t="s">
        <v>356</v>
      </c>
      <c r="C17" s="338" t="s">
        <v>8</v>
      </c>
      <c r="D17" s="132">
        <v>0</v>
      </c>
    </row>
    <row r="18" spans="1:7" x14ac:dyDescent="0.2">
      <c r="B18" s="297" t="s">
        <v>102</v>
      </c>
      <c r="C18" s="350" t="s">
        <v>2</v>
      </c>
      <c r="D18" s="134">
        <v>0</v>
      </c>
    </row>
    <row r="19" spans="1:7" x14ac:dyDescent="0.2">
      <c r="B19" s="297" t="s">
        <v>528</v>
      </c>
      <c r="C19" s="350" t="s">
        <v>8</v>
      </c>
      <c r="D19" s="187">
        <f>D18*D17</f>
        <v>0</v>
      </c>
    </row>
    <row r="20" spans="1:7" x14ac:dyDescent="0.2">
      <c r="B20" s="297" t="s">
        <v>529</v>
      </c>
      <c r="C20" s="350" t="s">
        <v>178</v>
      </c>
      <c r="D20" s="132">
        <v>25</v>
      </c>
    </row>
    <row r="21" spans="1:7" x14ac:dyDescent="0.2">
      <c r="B21" s="297" t="s">
        <v>530</v>
      </c>
      <c r="C21" s="350" t="s">
        <v>8</v>
      </c>
      <c r="D21" s="188">
        <f>2*D20*D13/1000</f>
        <v>0</v>
      </c>
    </row>
    <row r="22" spans="1:7" ht="13.5" thickBot="1" x14ac:dyDescent="0.25">
      <c r="B22" s="297" t="s">
        <v>531</v>
      </c>
      <c r="C22" s="350" t="s">
        <v>179</v>
      </c>
      <c r="D22" s="135">
        <v>8760</v>
      </c>
    </row>
    <row r="23" spans="1:7" ht="13.5" thickBot="1" x14ac:dyDescent="0.25">
      <c r="B23" s="297" t="s">
        <v>532</v>
      </c>
      <c r="C23" s="350" t="s">
        <v>6</v>
      </c>
      <c r="D23" s="187">
        <f>D21*D22</f>
        <v>0</v>
      </c>
      <c r="E23" s="189" t="e">
        <f>D23/D16</f>
        <v>#DIV/0!</v>
      </c>
    </row>
    <row r="24" spans="1:7" x14ac:dyDescent="0.2">
      <c r="B24" s="297" t="s">
        <v>512</v>
      </c>
      <c r="C24" s="350" t="s">
        <v>8</v>
      </c>
      <c r="D24" s="187">
        <f>D19+D21</f>
        <v>0</v>
      </c>
    </row>
    <row r="25" spans="1:7" ht="13.5" thickBot="1" x14ac:dyDescent="0.25">
      <c r="B25" s="351" t="s">
        <v>513</v>
      </c>
      <c r="C25" s="352" t="s">
        <v>6</v>
      </c>
      <c r="D25" s="148">
        <f>D16+D23</f>
        <v>0</v>
      </c>
    </row>
    <row r="27" spans="1:7" ht="15.75" thickBot="1" x14ac:dyDescent="0.3">
      <c r="A27" s="198" t="s">
        <v>244</v>
      </c>
      <c r="B27" s="334" t="s">
        <v>39</v>
      </c>
    </row>
    <row r="28" spans="1:7" x14ac:dyDescent="0.2">
      <c r="B28" s="335" t="s">
        <v>405</v>
      </c>
      <c r="C28" s="336" t="s">
        <v>2</v>
      </c>
      <c r="D28" s="136">
        <v>0.05</v>
      </c>
      <c r="E28" s="353"/>
      <c r="F28" s="296"/>
      <c r="G28" s="354"/>
    </row>
    <row r="29" spans="1:7" ht="13.5" thickBot="1" x14ac:dyDescent="0.25">
      <c r="B29" s="346" t="s">
        <v>272</v>
      </c>
      <c r="C29" s="347" t="s">
        <v>6</v>
      </c>
      <c r="D29" s="148">
        <f>D25/(1-D28)</f>
        <v>0</v>
      </c>
      <c r="E29" s="355"/>
      <c r="F29" s="296"/>
      <c r="G29" s="356"/>
    </row>
    <row r="30" spans="1:7" x14ac:dyDescent="0.2">
      <c r="B30" s="357" t="s">
        <v>273</v>
      </c>
      <c r="C30" s="358" t="s">
        <v>6</v>
      </c>
      <c r="D30" s="183">
        <f>$D$29*E30</f>
        <v>0</v>
      </c>
      <c r="E30" s="137">
        <v>1</v>
      </c>
      <c r="F30" s="334" t="str">
        <f>IF(E30+E31+E32=1,"ok","ATTENZIONE - verificare percentuali")</f>
        <v>ok</v>
      </c>
      <c r="G30" s="296"/>
    </row>
    <row r="31" spans="1:7" x14ac:dyDescent="0.2">
      <c r="B31" s="359" t="s">
        <v>591</v>
      </c>
      <c r="C31" s="360" t="s">
        <v>6</v>
      </c>
      <c r="D31" s="184">
        <f>$D$29*E31</f>
        <v>0</v>
      </c>
      <c r="E31" s="138">
        <v>0</v>
      </c>
      <c r="F31" s="334" t="str">
        <f>F30</f>
        <v>ok</v>
      </c>
      <c r="G31" s="296"/>
    </row>
    <row r="32" spans="1:7" ht="13.5" thickBot="1" x14ac:dyDescent="0.25">
      <c r="B32" s="361" t="s">
        <v>274</v>
      </c>
      <c r="C32" s="362" t="s">
        <v>6</v>
      </c>
      <c r="D32" s="149">
        <f>$D$25*E32</f>
        <v>0</v>
      </c>
      <c r="E32" s="139">
        <v>0</v>
      </c>
      <c r="F32" s="334" t="str">
        <f>F31</f>
        <v>ok</v>
      </c>
      <c r="G32" s="296"/>
    </row>
    <row r="33" spans="1:7" ht="6.75" customHeight="1" thickBot="1" x14ac:dyDescent="0.25">
      <c r="B33" s="363"/>
      <c r="C33" s="364"/>
      <c r="D33" s="365"/>
      <c r="E33" s="366"/>
      <c r="G33" s="296"/>
    </row>
    <row r="34" spans="1:7" ht="12.75" customHeight="1" x14ac:dyDescent="0.2">
      <c r="B34" s="858" t="s">
        <v>166</v>
      </c>
      <c r="C34" s="367" t="s">
        <v>565</v>
      </c>
      <c r="D34" s="368"/>
      <c r="E34" s="369"/>
      <c r="G34" s="296"/>
    </row>
    <row r="35" spans="1:7" x14ac:dyDescent="0.2">
      <c r="B35" s="297" t="s">
        <v>250</v>
      </c>
      <c r="C35" s="350" t="s">
        <v>8</v>
      </c>
      <c r="D35" s="141">
        <v>0</v>
      </c>
      <c r="E35" s="190" t="e">
        <f>D35/D24</f>
        <v>#DIV/0!</v>
      </c>
      <c r="G35" s="296"/>
    </row>
    <row r="36" spans="1:7" ht="13.5" thickBot="1" x14ac:dyDescent="0.25">
      <c r="B36" s="370" t="s">
        <v>252</v>
      </c>
      <c r="C36" s="344" t="s">
        <v>166</v>
      </c>
      <c r="D36" s="142">
        <v>0</v>
      </c>
      <c r="E36" s="371"/>
    </row>
    <row r="37" spans="1:7" x14ac:dyDescent="0.2">
      <c r="B37" s="858" t="s">
        <v>166</v>
      </c>
      <c r="C37" s="372" t="s">
        <v>566</v>
      </c>
      <c r="D37" s="373"/>
      <c r="E37" s="374"/>
    </row>
    <row r="38" spans="1:7" x14ac:dyDescent="0.2">
      <c r="B38" s="297" t="s">
        <v>251</v>
      </c>
      <c r="C38" s="375" t="s">
        <v>8</v>
      </c>
      <c r="D38" s="143">
        <v>0</v>
      </c>
      <c r="E38" s="190" t="e">
        <f>D38/D24</f>
        <v>#DIV/0!</v>
      </c>
    </row>
    <row r="39" spans="1:7" ht="13.5" thickBot="1" x14ac:dyDescent="0.25">
      <c r="B39" s="351" t="s">
        <v>252</v>
      </c>
      <c r="C39" s="347" t="s">
        <v>166</v>
      </c>
      <c r="D39" s="144">
        <v>0</v>
      </c>
      <c r="E39" s="371"/>
    </row>
    <row r="40" spans="1:7" x14ac:dyDescent="0.2">
      <c r="B40" s="140" t="s">
        <v>166</v>
      </c>
      <c r="C40" s="372" t="s">
        <v>567</v>
      </c>
      <c r="D40" s="373"/>
      <c r="E40" s="374"/>
    </row>
    <row r="41" spans="1:7" x14ac:dyDescent="0.2">
      <c r="B41" s="297" t="s">
        <v>355</v>
      </c>
      <c r="C41" s="350" t="s">
        <v>8</v>
      </c>
      <c r="D41" s="132">
        <v>0</v>
      </c>
      <c r="E41" s="190" t="e">
        <f>D41/D24</f>
        <v>#DIV/0!</v>
      </c>
    </row>
    <row r="42" spans="1:7" ht="13.5" thickBot="1" x14ac:dyDescent="0.25">
      <c r="B42" s="351" t="s">
        <v>252</v>
      </c>
      <c r="C42" s="347" t="s">
        <v>166</v>
      </c>
      <c r="D42" s="145">
        <v>0</v>
      </c>
      <c r="E42" s="371"/>
    </row>
    <row r="43" spans="1:7" ht="13.5" thickBot="1" x14ac:dyDescent="0.25">
      <c r="B43" s="376" t="s">
        <v>478</v>
      </c>
      <c r="C43" s="377" t="s">
        <v>8</v>
      </c>
      <c r="D43" s="191">
        <f>D35+D38+D41</f>
        <v>0</v>
      </c>
      <c r="E43" s="192" t="e">
        <f>E35+E38+E41</f>
        <v>#DIV/0!</v>
      </c>
    </row>
    <row r="45" spans="1:7" ht="15.75" thickBot="1" x14ac:dyDescent="0.3">
      <c r="A45" s="198" t="s">
        <v>245</v>
      </c>
      <c r="B45" s="334" t="s">
        <v>517</v>
      </c>
    </row>
    <row r="46" spans="1:7" x14ac:dyDescent="0.2">
      <c r="B46" s="378" t="s">
        <v>514</v>
      </c>
      <c r="C46" s="379" t="s">
        <v>6</v>
      </c>
      <c r="D46" s="133">
        <v>0</v>
      </c>
    </row>
    <row r="47" spans="1:7" x14ac:dyDescent="0.2">
      <c r="B47" s="380" t="s">
        <v>286</v>
      </c>
      <c r="C47" s="381" t="s">
        <v>6</v>
      </c>
      <c r="D47" s="185">
        <v>0</v>
      </c>
    </row>
    <row r="48" spans="1:7" x14ac:dyDescent="0.2">
      <c r="B48" s="382" t="s">
        <v>287</v>
      </c>
      <c r="C48" s="338" t="s">
        <v>6</v>
      </c>
      <c r="D48" s="186">
        <v>0</v>
      </c>
    </row>
    <row r="49" spans="1:7" x14ac:dyDescent="0.2">
      <c r="B49" s="382" t="s">
        <v>288</v>
      </c>
      <c r="C49" s="338" t="s">
        <v>6</v>
      </c>
      <c r="D49" s="186">
        <v>0</v>
      </c>
    </row>
    <row r="50" spans="1:7" x14ac:dyDescent="0.2">
      <c r="B50" s="378" t="s">
        <v>289</v>
      </c>
      <c r="C50" s="350" t="s">
        <v>6</v>
      </c>
      <c r="D50" s="132">
        <v>0</v>
      </c>
    </row>
    <row r="51" spans="1:7" x14ac:dyDescent="0.2">
      <c r="B51" s="378" t="s">
        <v>290</v>
      </c>
      <c r="C51" s="350" t="s">
        <v>6</v>
      </c>
      <c r="D51" s="132">
        <v>0</v>
      </c>
    </row>
    <row r="52" spans="1:7" x14ac:dyDescent="0.2">
      <c r="B52" s="297" t="s">
        <v>533</v>
      </c>
      <c r="C52" s="350" t="s">
        <v>6</v>
      </c>
      <c r="D52" s="187">
        <f>IF(D36&gt;0,D30/D36,0)+IF(D39&gt;0,D31/D39,0)+IF(D42&gt;0,D32/D42,0)</f>
        <v>0</v>
      </c>
    </row>
    <row r="53" spans="1:7" x14ac:dyDescent="0.2">
      <c r="B53" s="378" t="s">
        <v>534</v>
      </c>
      <c r="C53" s="350" t="s">
        <v>6</v>
      </c>
      <c r="D53" s="132">
        <v>0</v>
      </c>
      <c r="E53" s="196" t="s">
        <v>382</v>
      </c>
      <c r="F53" s="157" t="s">
        <v>383</v>
      </c>
      <c r="G53" s="383"/>
    </row>
    <row r="54" spans="1:7" ht="13.5" thickBot="1" x14ac:dyDescent="0.25">
      <c r="B54" s="307" t="s">
        <v>291</v>
      </c>
      <c r="C54" s="352" t="s">
        <v>6</v>
      </c>
      <c r="D54" s="148">
        <f>SUM(D46:D53)</f>
        <v>0</v>
      </c>
    </row>
    <row r="56" spans="1:7" ht="15.75" thickBot="1" x14ac:dyDescent="0.3">
      <c r="A56" s="198" t="s">
        <v>246</v>
      </c>
      <c r="B56" s="334" t="s">
        <v>105</v>
      </c>
    </row>
    <row r="57" spans="1:7" x14ac:dyDescent="0.2">
      <c r="B57" s="335" t="s">
        <v>475</v>
      </c>
      <c r="C57" s="336" t="s">
        <v>489</v>
      </c>
      <c r="D57" s="384" t="e">
        <f>D16/D10</f>
        <v>#DIV/0!</v>
      </c>
    </row>
    <row r="58" spans="1:7" x14ac:dyDescent="0.2">
      <c r="B58" s="337" t="s">
        <v>475</v>
      </c>
      <c r="C58" s="338" t="s">
        <v>490</v>
      </c>
      <c r="D58" s="385" t="e">
        <f>1000*D17/D10</f>
        <v>#DIV/0!</v>
      </c>
    </row>
    <row r="59" spans="1:7" x14ac:dyDescent="0.2">
      <c r="B59" s="337" t="s">
        <v>476</v>
      </c>
      <c r="C59" s="338" t="s">
        <v>491</v>
      </c>
      <c r="D59" s="385" t="e">
        <f>D16/D13/1000</f>
        <v>#DIV/0!</v>
      </c>
    </row>
    <row r="60" spans="1:7" ht="13.5" thickBot="1" x14ac:dyDescent="0.25">
      <c r="B60" s="346" t="s">
        <v>476</v>
      </c>
      <c r="C60" s="347" t="s">
        <v>106</v>
      </c>
      <c r="D60" s="386" t="e">
        <f>D17/D13</f>
        <v>#DIV/0!</v>
      </c>
    </row>
    <row r="63" spans="1:7" ht="13.5" thickBot="1" x14ac:dyDescent="0.25"/>
    <row r="64" spans="1:7" ht="13.5" thickBot="1" x14ac:dyDescent="0.25">
      <c r="A64" s="197" t="s">
        <v>387</v>
      </c>
      <c r="B64" s="328"/>
      <c r="C64" s="329"/>
      <c r="D64" s="330"/>
    </row>
    <row r="66" spans="1:4" ht="15.75" thickBot="1" x14ac:dyDescent="0.3">
      <c r="A66" s="198" t="s">
        <v>247</v>
      </c>
      <c r="B66" s="334" t="s">
        <v>265</v>
      </c>
    </row>
    <row r="67" spans="1:4" x14ac:dyDescent="0.2">
      <c r="B67" s="335" t="s">
        <v>535</v>
      </c>
      <c r="C67" s="379" t="s">
        <v>8</v>
      </c>
      <c r="D67" s="146">
        <v>0</v>
      </c>
    </row>
    <row r="68" spans="1:4" x14ac:dyDescent="0.2">
      <c r="B68" s="337" t="s">
        <v>537</v>
      </c>
      <c r="C68" s="350" t="s">
        <v>8</v>
      </c>
      <c r="D68" s="147">
        <v>0</v>
      </c>
    </row>
    <row r="69" spans="1:4" x14ac:dyDescent="0.2">
      <c r="B69" s="337" t="s">
        <v>536</v>
      </c>
      <c r="C69" s="350" t="s">
        <v>6</v>
      </c>
      <c r="D69" s="147">
        <v>0</v>
      </c>
    </row>
    <row r="70" spans="1:4" x14ac:dyDescent="0.2">
      <c r="B70" s="337" t="s">
        <v>538</v>
      </c>
      <c r="C70" s="350" t="s">
        <v>6</v>
      </c>
      <c r="D70" s="147">
        <v>0</v>
      </c>
    </row>
    <row r="71" spans="1:4" x14ac:dyDescent="0.2">
      <c r="B71" s="343" t="s">
        <v>539</v>
      </c>
      <c r="C71" s="344" t="s">
        <v>2</v>
      </c>
      <c r="D71" s="387" t="e">
        <f>D70/D68/8760</f>
        <v>#DIV/0!</v>
      </c>
    </row>
    <row r="72" spans="1:4" x14ac:dyDescent="0.2">
      <c r="B72" s="343" t="s">
        <v>540</v>
      </c>
      <c r="C72" s="344" t="s">
        <v>2</v>
      </c>
      <c r="D72" s="260">
        <v>0.3</v>
      </c>
    </row>
    <row r="73" spans="1:4" ht="13.5" thickBot="1" x14ac:dyDescent="0.25">
      <c r="B73" s="351" t="s">
        <v>541</v>
      </c>
      <c r="C73" s="352" t="s">
        <v>6</v>
      </c>
      <c r="D73" s="148">
        <f>D70/D72-D69-D70</f>
        <v>0</v>
      </c>
    </row>
    <row r="74" spans="1:4" x14ac:dyDescent="0.2">
      <c r="B74" s="291"/>
      <c r="C74" s="388"/>
      <c r="D74" s="389"/>
    </row>
    <row r="75" spans="1:4" x14ac:dyDescent="0.2">
      <c r="B75" s="291"/>
      <c r="C75" s="388"/>
      <c r="D75" s="389"/>
    </row>
    <row r="76" spans="1:4" x14ac:dyDescent="0.2">
      <c r="B76" s="291"/>
      <c r="C76" s="388"/>
      <c r="D76" s="389"/>
    </row>
    <row r="77" spans="1:4" x14ac:dyDescent="0.2">
      <c r="B77" s="296"/>
      <c r="C77" s="364"/>
      <c r="D77" s="365"/>
    </row>
  </sheetData>
  <sheetProtection password="C632" sheet="1" objects="1" scenarios="1"/>
  <phoneticPr fontId="34" type="noConversion"/>
  <hyperlinks>
    <hyperlink ref="A4" location="info!A6" display="A1"/>
    <hyperlink ref="A15" location="info!A12" display="A2"/>
    <hyperlink ref="A27" location="info!A18" display="A3"/>
    <hyperlink ref="A45" location="info!A24" display="A4"/>
    <hyperlink ref="A56" location="info!A29" display="A5"/>
    <hyperlink ref="A66" location="info!A33" display="A6"/>
  </hyperlinks>
  <pageMargins left="0.7" right="0.7" top="0.75" bottom="0.75" header="0.3" footer="0.3"/>
  <pageSetup paperSize="9"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topLeftCell="A10" workbookViewId="0">
      <selection activeCell="H20" sqref="H20"/>
    </sheetView>
  </sheetViews>
  <sheetFormatPr defaultRowHeight="12.75" x14ac:dyDescent="0.2"/>
  <cols>
    <col min="1" max="1" width="9.140625" style="196"/>
    <col min="2" max="2" width="59.28515625" style="196" customWidth="1"/>
    <col min="3" max="3" width="13.7109375" style="196" customWidth="1"/>
    <col min="4" max="4" width="12.140625" style="196" customWidth="1"/>
    <col min="5" max="5" width="14.7109375" style="196" bestFit="1" customWidth="1"/>
    <col min="6" max="6" width="16.140625" style="196" customWidth="1"/>
    <col min="7" max="7" width="14.5703125" style="196" bestFit="1" customWidth="1"/>
    <col min="8" max="8" width="12.28515625" style="194" bestFit="1" customWidth="1"/>
    <col min="9" max="9" width="10.7109375" style="194" bestFit="1" customWidth="1"/>
    <col min="10" max="10" width="10.7109375" style="196" bestFit="1" customWidth="1"/>
    <col min="11" max="11" width="10.7109375" style="196" customWidth="1"/>
    <col min="12" max="12" width="11.85546875" style="196" bestFit="1" customWidth="1"/>
    <col min="13" max="13" width="9.140625" style="196"/>
    <col min="14" max="14" width="13.7109375" style="196" bestFit="1" customWidth="1"/>
    <col min="15" max="15" width="21.85546875" style="196" customWidth="1"/>
    <col min="16" max="16" width="9.140625" style="196"/>
    <col min="17" max="17" width="9.7109375" style="196" bestFit="1" customWidth="1"/>
    <col min="18" max="16384" width="9.140625" style="196"/>
  </cols>
  <sheetData>
    <row r="1" spans="1:9" ht="20.25" customHeight="1" thickBot="1" x14ac:dyDescent="0.3">
      <c r="A1" s="193"/>
      <c r="B1" s="290" t="s">
        <v>25</v>
      </c>
      <c r="C1" s="193"/>
      <c r="D1" s="252"/>
      <c r="E1" s="252"/>
      <c r="F1" s="252"/>
    </row>
    <row r="2" spans="1:9" s="292" customFormat="1" x14ac:dyDescent="0.2">
      <c r="B2" s="293"/>
      <c r="C2" s="293"/>
      <c r="D2" s="293"/>
      <c r="E2" s="293"/>
      <c r="F2" s="293"/>
      <c r="H2" s="390"/>
      <c r="I2" s="390"/>
    </row>
    <row r="3" spans="1:9" x14ac:dyDescent="0.2">
      <c r="A3" s="293" t="s">
        <v>126</v>
      </c>
      <c r="B3" s="293"/>
      <c r="C3" s="293"/>
      <c r="D3" s="293"/>
      <c r="E3" s="293"/>
      <c r="F3" s="293"/>
    </row>
    <row r="4" spans="1:9" ht="13.5" thickBot="1" x14ac:dyDescent="0.25">
      <c r="A4" s="293"/>
      <c r="B4" s="293"/>
      <c r="C4" s="293"/>
      <c r="D4" s="293"/>
      <c r="E4" s="293"/>
      <c r="F4" s="293"/>
    </row>
    <row r="5" spans="1:9" ht="15.75" customHeight="1" thickBot="1" x14ac:dyDescent="0.25">
      <c r="A5" s="391" t="s">
        <v>176</v>
      </c>
      <c r="B5" s="392"/>
      <c r="C5" s="392"/>
      <c r="D5" s="393"/>
      <c r="E5" s="861" t="s">
        <v>292</v>
      </c>
      <c r="F5" s="862"/>
    </row>
    <row r="6" spans="1:9" ht="15.75" customHeight="1" thickBot="1" x14ac:dyDescent="0.25">
      <c r="A6" s="394"/>
      <c r="B6" s="395" t="str">
        <f>' Dati tecnici e stima domanda'!B29</f>
        <v>Energia termica prodotta annualmente dall'impianto</v>
      </c>
      <c r="C6" s="396" t="str">
        <f>' Dati tecnici e stima domanda'!C29</f>
        <v>kWh/a</v>
      </c>
      <c r="D6" s="397">
        <f>' Dati tecnici e stima domanda'!D29</f>
        <v>0</v>
      </c>
      <c r="E6" s="863"/>
      <c r="F6" s="864"/>
    </row>
    <row r="7" spans="1:9" x14ac:dyDescent="0.2">
      <c r="A7" s="394"/>
      <c r="B7" s="398" t="str">
        <f>' Dati tecnici e stima domanda'!B30</f>
        <v>Energia termica prodotta dal generatore di calore 1</v>
      </c>
      <c r="C7" s="399" t="str">
        <f>' Dati tecnici e stima domanda'!C30</f>
        <v>kWh/a</v>
      </c>
      <c r="D7" s="400">
        <f>' Dati tecnici e stima domanda'!D30</f>
        <v>0</v>
      </c>
      <c r="E7" s="859" t="str">
        <f>' Dati tecnici e stima domanda'!B34</f>
        <v>-</v>
      </c>
      <c r="F7" s="860"/>
      <c r="H7" s="196"/>
    </row>
    <row r="8" spans="1:9" x14ac:dyDescent="0.2">
      <c r="A8" s="394"/>
      <c r="B8" s="401" t="str">
        <f>' Dati tecnici e stima domanda'!B31</f>
        <v>Energia termica prodotta dal generatore di calore 2</v>
      </c>
      <c r="C8" s="402" t="str">
        <f>' Dati tecnici e stima domanda'!C31</f>
        <v>kWh/a</v>
      </c>
      <c r="D8" s="403">
        <f>' Dati tecnici e stima domanda'!D31</f>
        <v>0</v>
      </c>
      <c r="E8" s="869" t="str">
        <f>' Dati tecnici e stima domanda'!B37</f>
        <v>-</v>
      </c>
      <c r="F8" s="870"/>
      <c r="H8" s="196"/>
    </row>
    <row r="9" spans="1:9" ht="13.5" thickBot="1" x14ac:dyDescent="0.25">
      <c r="A9" s="404"/>
      <c r="B9" s="405" t="str">
        <f>' Dati tecnici e stima domanda'!B32</f>
        <v>Energia termica prodotta dal generatore di calore 3</v>
      </c>
      <c r="C9" s="406" t="str">
        <f>' Dati tecnici e stima domanda'!C32</f>
        <v>kWh/a</v>
      </c>
      <c r="D9" s="407">
        <f>' Dati tecnici e stima domanda'!D32</f>
        <v>0</v>
      </c>
      <c r="E9" s="867" t="str">
        <f>' Dati tecnici e stima domanda'!B40</f>
        <v>-</v>
      </c>
      <c r="F9" s="868"/>
      <c r="H9" s="196"/>
    </row>
    <row r="10" spans="1:9" x14ac:dyDescent="0.2">
      <c r="A10" s="391" t="s">
        <v>177</v>
      </c>
      <c r="B10" s="392"/>
      <c r="C10" s="408"/>
      <c r="D10" s="409"/>
      <c r="E10" s="410"/>
      <c r="F10" s="410"/>
      <c r="H10" s="196"/>
    </row>
    <row r="11" spans="1:9" x14ac:dyDescent="0.2">
      <c r="A11" s="394"/>
      <c r="B11" s="411" t="s">
        <v>271</v>
      </c>
      <c r="C11" s="402" t="str">
        <f>' Dati tecnici e stima domanda'!C54</f>
        <v>kWh/a</v>
      </c>
      <c r="D11" s="299">
        <f>' Dati tecnici e stima domanda'!D54-D12</f>
        <v>0</v>
      </c>
      <c r="E11" s="412"/>
      <c r="F11" s="412"/>
      <c r="G11" s="296"/>
      <c r="H11" s="413"/>
    </row>
    <row r="12" spans="1:9" x14ac:dyDescent="0.2">
      <c r="A12" s="394"/>
      <c r="B12" s="414" t="s">
        <v>516</v>
      </c>
      <c r="C12" s="402" t="str">
        <f>' Dati tecnici e stima domanda'!C52</f>
        <v>kWh/a</v>
      </c>
      <c r="D12" s="415">
        <f>' Dati tecnici e stima domanda'!D52</f>
        <v>0</v>
      </c>
      <c r="E12" s="412"/>
      <c r="F12" s="412"/>
      <c r="G12" s="296"/>
      <c r="H12" s="413"/>
    </row>
    <row r="13" spans="1:9" ht="13.5" thickBot="1" x14ac:dyDescent="0.25">
      <c r="A13" s="404"/>
      <c r="B13" s="416" t="s">
        <v>480</v>
      </c>
      <c r="C13" s="406" t="str">
        <f>' Dati tecnici e stima domanda'!C70</f>
        <v>kWh/a</v>
      </c>
      <c r="D13" s="417">
        <f>' Dati tecnici e stima domanda'!D70</f>
        <v>0</v>
      </c>
      <c r="E13" s="412"/>
      <c r="F13" s="412"/>
      <c r="G13" s="296"/>
      <c r="H13" s="413"/>
    </row>
    <row r="14" spans="1:9" x14ac:dyDescent="0.2">
      <c r="B14" s="296"/>
      <c r="C14" s="296"/>
      <c r="D14" s="296"/>
      <c r="E14" s="296"/>
      <c r="F14" s="296"/>
      <c r="G14" s="296"/>
      <c r="H14" s="413"/>
    </row>
    <row r="15" spans="1:9" x14ac:dyDescent="0.2">
      <c r="B15" s="296"/>
      <c r="C15" s="296"/>
      <c r="D15" s="296"/>
      <c r="E15" s="296"/>
      <c r="F15" s="296"/>
      <c r="G15" s="296"/>
      <c r="H15" s="413"/>
    </row>
    <row r="16" spans="1:9" x14ac:dyDescent="0.2">
      <c r="A16" s="293" t="s">
        <v>32</v>
      </c>
      <c r="B16" s="296"/>
      <c r="C16" s="296"/>
      <c r="D16" s="296"/>
      <c r="E16" s="296"/>
      <c r="F16" s="296"/>
      <c r="G16" s="296"/>
      <c r="H16" s="413"/>
    </row>
    <row r="17" spans="1:17" ht="13.5" thickBot="1" x14ac:dyDescent="0.25"/>
    <row r="18" spans="1:17" ht="27" customHeight="1" thickBot="1" x14ac:dyDescent="0.3">
      <c r="B18" s="418" t="s">
        <v>12</v>
      </c>
      <c r="C18" s="865" t="s">
        <v>173</v>
      </c>
      <c r="D18" s="866"/>
      <c r="E18" s="419" t="s">
        <v>542</v>
      </c>
      <c r="F18" s="420" t="s">
        <v>543</v>
      </c>
      <c r="G18" s="419" t="s">
        <v>544</v>
      </c>
      <c r="H18" s="421" t="s">
        <v>30</v>
      </c>
      <c r="I18" s="422"/>
      <c r="J18" s="423" t="s">
        <v>31</v>
      </c>
      <c r="K18" s="424"/>
      <c r="L18" s="425" t="s">
        <v>1</v>
      </c>
      <c r="N18" s="426" t="s">
        <v>269</v>
      </c>
      <c r="O18" s="427" t="s">
        <v>545</v>
      </c>
      <c r="P18" s="428"/>
      <c r="Q18" s="429"/>
    </row>
    <row r="19" spans="1:17" ht="15" x14ac:dyDescent="0.25">
      <c r="A19" s="430" t="s">
        <v>266</v>
      </c>
      <c r="B19" s="431" t="s">
        <v>13</v>
      </c>
      <c r="C19" s="121">
        <v>700</v>
      </c>
      <c r="D19" s="432" t="s">
        <v>127</v>
      </c>
      <c r="E19" s="152"/>
      <c r="F19" s="122">
        <v>0.85</v>
      </c>
      <c r="G19" s="433">
        <f>E19/F19</f>
        <v>0</v>
      </c>
      <c r="H19" s="434">
        <f>G19</f>
        <v>0</v>
      </c>
      <c r="I19" s="435" t="s">
        <v>6</v>
      </c>
      <c r="J19" s="123">
        <v>0.06</v>
      </c>
      <c r="K19" s="435" t="s">
        <v>110</v>
      </c>
      <c r="L19" s="436">
        <f>E19*J19</f>
        <v>0</v>
      </c>
      <c r="N19" s="437"/>
      <c r="O19" s="438" t="s">
        <v>546</v>
      </c>
      <c r="P19" s="124">
        <v>5</v>
      </c>
      <c r="Q19" s="429"/>
    </row>
    <row r="20" spans="1:17" ht="15" x14ac:dyDescent="0.25">
      <c r="A20" s="194"/>
      <c r="B20" s="439" t="s">
        <v>15</v>
      </c>
      <c r="C20" s="125">
        <v>5</v>
      </c>
      <c r="D20" s="440" t="s">
        <v>128</v>
      </c>
      <c r="E20" s="153"/>
      <c r="F20" s="126">
        <v>0.9</v>
      </c>
      <c r="G20" s="433">
        <f t="shared" ref="G20:G23" si="0">E20/F20</f>
        <v>0</v>
      </c>
      <c r="H20" s="434">
        <f t="shared" ref="H20:H23" si="1">G20/C20</f>
        <v>0</v>
      </c>
      <c r="I20" s="441" t="s">
        <v>19</v>
      </c>
      <c r="J20" s="127">
        <v>150</v>
      </c>
      <c r="K20" s="441" t="s">
        <v>109</v>
      </c>
      <c r="L20" s="442">
        <f t="shared" ref="L20:L25" si="2">H20*J20</f>
        <v>0</v>
      </c>
      <c r="N20" s="437"/>
      <c r="O20" s="438" t="s">
        <v>292</v>
      </c>
      <c r="P20" s="128">
        <v>1</v>
      </c>
      <c r="Q20" s="443"/>
    </row>
    <row r="21" spans="1:17" ht="15" x14ac:dyDescent="0.25">
      <c r="A21" s="194"/>
      <c r="B21" s="439" t="s">
        <v>16</v>
      </c>
      <c r="C21" s="125">
        <v>10</v>
      </c>
      <c r="D21" s="440" t="s">
        <v>129</v>
      </c>
      <c r="E21" s="153"/>
      <c r="F21" s="126">
        <v>0.93500000000000005</v>
      </c>
      <c r="G21" s="433">
        <f t="shared" si="0"/>
        <v>0</v>
      </c>
      <c r="H21" s="434">
        <f t="shared" si="1"/>
        <v>0</v>
      </c>
      <c r="I21" s="441" t="s">
        <v>111</v>
      </c>
      <c r="J21" s="127">
        <v>1</v>
      </c>
      <c r="K21" s="441" t="s">
        <v>112</v>
      </c>
      <c r="L21" s="442">
        <f t="shared" si="2"/>
        <v>0</v>
      </c>
      <c r="N21" s="437"/>
      <c r="O21" s="438" t="s">
        <v>547</v>
      </c>
      <c r="P21" s="444">
        <f>IF(P20=1,' Dati tecnici e stima domanda'!D35,IF(P20=2,' Dati tecnici e stima domanda'!D38,IF(P20=3,' Dati tecnici e stima domanda'!D41)))</f>
        <v>0</v>
      </c>
      <c r="Q21" s="443"/>
    </row>
    <row r="22" spans="1:17" ht="15" x14ac:dyDescent="0.25">
      <c r="A22" s="194"/>
      <c r="B22" s="439" t="s">
        <v>17</v>
      </c>
      <c r="C22" s="125">
        <v>10</v>
      </c>
      <c r="D22" s="440" t="s">
        <v>127</v>
      </c>
      <c r="E22" s="153"/>
      <c r="F22" s="126">
        <v>0.93</v>
      </c>
      <c r="G22" s="433">
        <f t="shared" si="0"/>
        <v>0</v>
      </c>
      <c r="H22" s="434">
        <f>G22</f>
        <v>0</v>
      </c>
      <c r="I22" s="441" t="s">
        <v>6</v>
      </c>
      <c r="J22" s="127">
        <v>0.1</v>
      </c>
      <c r="K22" s="441" t="s">
        <v>110</v>
      </c>
      <c r="L22" s="442">
        <f>E22*J22</f>
        <v>0</v>
      </c>
      <c r="N22" s="437"/>
      <c r="O22" s="438" t="s">
        <v>548</v>
      </c>
      <c r="P22" s="445">
        <f>(P21/F19)/C19</f>
        <v>0</v>
      </c>
      <c r="Q22" s="443"/>
    </row>
    <row r="23" spans="1:17" ht="15.75" thickBot="1" x14ac:dyDescent="0.3">
      <c r="A23" s="194"/>
      <c r="B23" s="446" t="s">
        <v>18</v>
      </c>
      <c r="C23" s="129">
        <v>7</v>
      </c>
      <c r="D23" s="447" t="s">
        <v>129</v>
      </c>
      <c r="E23" s="154"/>
      <c r="F23" s="130">
        <v>0.92</v>
      </c>
      <c r="G23" s="433">
        <f t="shared" si="0"/>
        <v>0</v>
      </c>
      <c r="H23" s="434">
        <f t="shared" si="1"/>
        <v>0</v>
      </c>
      <c r="I23" s="448" t="s">
        <v>111</v>
      </c>
      <c r="J23" s="131">
        <v>1.4</v>
      </c>
      <c r="K23" s="448" t="s">
        <v>112</v>
      </c>
      <c r="L23" s="449">
        <f t="shared" si="2"/>
        <v>0</v>
      </c>
      <c r="N23" s="437"/>
      <c r="O23" s="438" t="s">
        <v>549</v>
      </c>
      <c r="P23" s="450">
        <f>P22*P19*24</f>
        <v>0</v>
      </c>
      <c r="Q23" s="443"/>
    </row>
    <row r="24" spans="1:17" ht="15.75" thickTop="1" x14ac:dyDescent="0.25">
      <c r="A24" s="430" t="s">
        <v>267</v>
      </c>
      <c r="B24" s="431" t="str">
        <f>B11</f>
        <v>Energia elettrica consumata dall'impianto (componenti ausiliari, ecc.)</v>
      </c>
      <c r="C24" s="451"/>
      <c r="D24" s="375"/>
      <c r="E24" s="375"/>
      <c r="F24" s="381"/>
      <c r="G24" s="452"/>
      <c r="H24" s="434">
        <f>D11</f>
        <v>0</v>
      </c>
      <c r="I24" s="453" t="str">
        <f>C11</f>
        <v>kWh/a</v>
      </c>
      <c r="J24" s="123">
        <v>0.2</v>
      </c>
      <c r="K24" s="441" t="s">
        <v>110</v>
      </c>
      <c r="L24" s="442">
        <f t="shared" si="2"/>
        <v>0</v>
      </c>
    </row>
    <row r="25" spans="1:17" x14ac:dyDescent="0.2">
      <c r="A25" s="194"/>
      <c r="B25" s="439" t="str">
        <f>B12</f>
        <v>Energia elettrica per riscaldamento (Pompe di calore)</v>
      </c>
      <c r="C25" s="440"/>
      <c r="D25" s="440"/>
      <c r="E25" s="440"/>
      <c r="F25" s="440"/>
      <c r="G25" s="440"/>
      <c r="H25" s="454">
        <f>D12</f>
        <v>0</v>
      </c>
      <c r="I25" s="453" t="str">
        <f>C12</f>
        <v>kWh/a</v>
      </c>
      <c r="J25" s="127">
        <v>0.2</v>
      </c>
      <c r="K25" s="441" t="s">
        <v>110</v>
      </c>
      <c r="L25" s="442">
        <f t="shared" si="2"/>
        <v>0</v>
      </c>
    </row>
    <row r="26" spans="1:17" x14ac:dyDescent="0.2">
      <c r="A26" s="194"/>
      <c r="B26" s="439" t="s">
        <v>479</v>
      </c>
      <c r="C26" s="440"/>
      <c r="D26" s="440"/>
      <c r="E26" s="440"/>
      <c r="F26" s="440"/>
      <c r="G26" s="440"/>
      <c r="H26" s="200">
        <v>0</v>
      </c>
      <c r="I26" s="453" t="str">
        <f>C13</f>
        <v>kWh/a</v>
      </c>
      <c r="J26" s="455"/>
      <c r="K26" s="456"/>
      <c r="L26" s="442">
        <f>-H26*J24</f>
        <v>0</v>
      </c>
    </row>
    <row r="27" spans="1:17" x14ac:dyDescent="0.2">
      <c r="A27" s="194"/>
      <c r="B27" s="439" t="str">
        <f>B13&amp;" e venduta alla rete"</f>
        <v>Energia elettrica prodotta dall'impianto e venduta alla rete</v>
      </c>
      <c r="C27" s="440"/>
      <c r="D27" s="440"/>
      <c r="E27" s="440"/>
      <c r="F27" s="440"/>
      <c r="G27" s="440"/>
      <c r="H27" s="457">
        <f>D13-H26</f>
        <v>0</v>
      </c>
      <c r="I27" s="453" t="str">
        <f>C13</f>
        <v>kWh/a</v>
      </c>
      <c r="J27" s="127">
        <v>0.15</v>
      </c>
      <c r="K27" s="441" t="s">
        <v>110</v>
      </c>
      <c r="L27" s="442">
        <f>-H27*J27</f>
        <v>0</v>
      </c>
    </row>
    <row r="28" spans="1:17" s="334" customFormat="1" ht="13.5" thickBot="1" x14ac:dyDescent="0.25">
      <c r="A28" s="302"/>
      <c r="B28" s="458" t="s">
        <v>20</v>
      </c>
      <c r="C28" s="459"/>
      <c r="D28" s="459"/>
      <c r="E28" s="459"/>
      <c r="F28" s="459"/>
      <c r="G28" s="459"/>
      <c r="H28" s="460"/>
      <c r="I28" s="461"/>
      <c r="J28" s="462"/>
      <c r="K28" s="460"/>
      <c r="L28" s="463">
        <f>SUM(L19:L27)</f>
        <v>0</v>
      </c>
    </row>
    <row r="30" spans="1:17" x14ac:dyDescent="0.2">
      <c r="G30" s="464"/>
      <c r="H30" s="296"/>
      <c r="I30" s="364"/>
    </row>
    <row r="31" spans="1:17" x14ac:dyDescent="0.2">
      <c r="G31" s="464"/>
      <c r="H31" s="296"/>
      <c r="I31" s="364"/>
      <c r="Q31" s="465"/>
    </row>
    <row r="32" spans="1:17" x14ac:dyDescent="0.2">
      <c r="G32" s="464"/>
      <c r="H32" s="296"/>
      <c r="I32" s="364"/>
    </row>
    <row r="33" spans="7:9" x14ac:dyDescent="0.2">
      <c r="G33" s="464"/>
      <c r="H33" s="296"/>
      <c r="I33" s="364"/>
    </row>
    <row r="34" spans="7:9" x14ac:dyDescent="0.2">
      <c r="G34" s="464"/>
      <c r="H34" s="296"/>
      <c r="I34" s="364"/>
    </row>
    <row r="35" spans="7:9" x14ac:dyDescent="0.2">
      <c r="G35" s="464"/>
      <c r="H35" s="296"/>
      <c r="I35" s="364"/>
    </row>
    <row r="36" spans="7:9" x14ac:dyDescent="0.2">
      <c r="G36" s="464"/>
      <c r="H36" s="296"/>
      <c r="I36" s="364"/>
    </row>
  </sheetData>
  <sheetProtection password="C632" sheet="1" objects="1" scenarios="1"/>
  <mergeCells count="5">
    <mergeCell ref="E7:F7"/>
    <mergeCell ref="E5:F6"/>
    <mergeCell ref="C18:D18"/>
    <mergeCell ref="E9:F9"/>
    <mergeCell ref="E8:F8"/>
  </mergeCells>
  <phoneticPr fontId="34" type="noConversion"/>
  <hyperlinks>
    <hyperlink ref="A19" location="info!A40" display="B1"/>
    <hyperlink ref="A24" location="info!A44" display="B2"/>
    <hyperlink ref="N18" location="info!A46" display="B3"/>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9"/>
  <sheetViews>
    <sheetView zoomScale="85" zoomScaleNormal="85" workbookViewId="0">
      <selection activeCell="A20" sqref="A20"/>
    </sheetView>
  </sheetViews>
  <sheetFormatPr defaultRowHeight="14.25" x14ac:dyDescent="0.25"/>
  <cols>
    <col min="1" max="1" width="5.7109375" style="247" customWidth="1"/>
    <col min="2" max="2" width="38.85546875" style="247" customWidth="1"/>
    <col min="3" max="3" width="47" style="247" bestFit="1" customWidth="1"/>
    <col min="4" max="4" width="16" style="466" bestFit="1" customWidth="1"/>
    <col min="5" max="5" width="10.42578125" style="467" customWidth="1"/>
    <col min="6" max="6" width="18.28515625" style="466" bestFit="1" customWidth="1"/>
    <col min="7" max="7" width="10" style="466" customWidth="1"/>
    <col min="8" max="8" width="10.28515625" style="466" bestFit="1" customWidth="1"/>
    <col min="9" max="9" width="10.42578125" style="247" customWidth="1"/>
    <col min="10" max="11" width="12.7109375" style="247" customWidth="1"/>
    <col min="12" max="12" width="27" style="247" bestFit="1" customWidth="1"/>
    <col min="13" max="13" width="10.5703125" style="247" bestFit="1" customWidth="1"/>
    <col min="14" max="14" width="21.7109375" style="247" customWidth="1"/>
    <col min="15" max="15" width="24.28515625" style="247" customWidth="1"/>
    <col min="16" max="16" width="21.140625" style="247" customWidth="1"/>
    <col min="17" max="17" width="9" style="247" customWidth="1"/>
    <col min="18" max="18" width="34.85546875" style="247" bestFit="1" customWidth="1"/>
    <col min="19" max="28" width="9.140625" style="247"/>
    <col min="29" max="29" width="19.140625" style="247" bestFit="1" customWidth="1"/>
    <col min="30" max="16384" width="9.140625" style="247"/>
  </cols>
  <sheetData>
    <row r="1" spans="1:30" ht="15" thickBot="1" x14ac:dyDescent="0.3"/>
    <row r="2" spans="1:30" ht="19.5" customHeight="1" thickBot="1" x14ac:dyDescent="0.3">
      <c r="A2" s="193"/>
      <c r="B2" s="289" t="s">
        <v>125</v>
      </c>
      <c r="C2" s="290"/>
      <c r="L2" s="871" t="s">
        <v>439</v>
      </c>
      <c r="M2" s="872"/>
      <c r="N2" s="873"/>
    </row>
    <row r="3" spans="1:30" ht="15" thickBot="1" x14ac:dyDescent="0.3">
      <c r="B3" s="468"/>
      <c r="C3" s="468"/>
    </row>
    <row r="4" spans="1:30" ht="48.75" customHeight="1" thickBot="1" x14ac:dyDescent="0.3">
      <c r="A4" s="248"/>
      <c r="B4" s="469"/>
      <c r="C4" s="470"/>
      <c r="D4" s="471"/>
      <c r="E4" s="472"/>
      <c r="F4" s="471"/>
      <c r="G4" s="885" t="s">
        <v>419</v>
      </c>
      <c r="H4" s="886"/>
      <c r="I4" s="879" t="s">
        <v>33</v>
      </c>
      <c r="J4" s="880"/>
      <c r="K4" s="254"/>
      <c r="L4" s="254"/>
      <c r="M4" s="254"/>
      <c r="N4" s="254"/>
      <c r="O4" s="466"/>
      <c r="P4" s="466"/>
      <c r="Q4" s="466"/>
      <c r="R4" s="251"/>
      <c r="S4" s="251"/>
      <c r="T4" s="251"/>
      <c r="U4" s="251"/>
      <c r="V4" s="251"/>
      <c r="W4" s="251"/>
      <c r="X4" s="251"/>
      <c r="Y4" s="251"/>
      <c r="Z4" s="251"/>
      <c r="AA4" s="251"/>
    </row>
    <row r="5" spans="1:30" ht="29.25" thickBot="1" x14ac:dyDescent="0.3">
      <c r="B5" s="473"/>
      <c r="C5" s="474"/>
      <c r="D5" s="475" t="s">
        <v>505</v>
      </c>
      <c r="E5" s="476" t="s">
        <v>10</v>
      </c>
      <c r="F5" s="475" t="s">
        <v>408</v>
      </c>
      <c r="G5" s="475" t="s">
        <v>427</v>
      </c>
      <c r="H5" s="475" t="s">
        <v>428</v>
      </c>
      <c r="I5" s="475" t="s">
        <v>34</v>
      </c>
      <c r="J5" s="477" t="s">
        <v>35</v>
      </c>
      <c r="K5" s="478" t="s">
        <v>297</v>
      </c>
      <c r="L5" s="479" t="s">
        <v>409</v>
      </c>
      <c r="M5" s="480" t="s">
        <v>2</v>
      </c>
      <c r="N5" s="480"/>
      <c r="O5" s="481"/>
      <c r="P5" s="481"/>
      <c r="Q5" s="481"/>
    </row>
    <row r="6" spans="1:30" ht="15.75" customHeight="1" thickBot="1" x14ac:dyDescent="0.3">
      <c r="B6" s="881" t="s">
        <v>206</v>
      </c>
      <c r="C6" s="882"/>
      <c r="D6" s="482"/>
      <c r="E6" s="483"/>
      <c r="F6" s="484"/>
      <c r="G6" s="485"/>
      <c r="H6" s="485"/>
      <c r="I6" s="486"/>
      <c r="J6" s="487"/>
      <c r="K6" s="488"/>
      <c r="L6" s="489" t="s">
        <v>410</v>
      </c>
      <c r="M6" s="201">
        <v>0.3</v>
      </c>
      <c r="N6" s="489">
        <f>D38*M6</f>
        <v>0</v>
      </c>
      <c r="P6" s="490"/>
      <c r="R6" s="250" t="s">
        <v>201</v>
      </c>
    </row>
    <row r="7" spans="1:30" ht="22.5" customHeight="1" thickBot="1" x14ac:dyDescent="0.3">
      <c r="A7" s="198" t="s">
        <v>294</v>
      </c>
      <c r="B7" s="874" t="s">
        <v>141</v>
      </c>
      <c r="C7" s="875"/>
      <c r="D7" s="491">
        <f>D8+D17</f>
        <v>0</v>
      </c>
      <c r="E7" s="492"/>
      <c r="F7" s="491">
        <f>F8+F17</f>
        <v>0</v>
      </c>
      <c r="G7" s="491" t="e">
        <f>G8+G17</f>
        <v>#DIV/0!</v>
      </c>
      <c r="H7" s="491" t="e">
        <f>H8+H17</f>
        <v>#DIV/0!</v>
      </c>
      <c r="I7" s="491"/>
      <c r="J7" s="493">
        <f>J8+J17</f>
        <v>0</v>
      </c>
      <c r="K7" s="488"/>
      <c r="L7" s="489" t="s">
        <v>411</v>
      </c>
      <c r="M7" s="494">
        <f>100%-M6</f>
        <v>0.7</v>
      </c>
      <c r="N7" s="489">
        <f>D38-N6</f>
        <v>0</v>
      </c>
      <c r="R7" s="495" t="str">
        <f>B7</f>
        <v>CENTRALE</v>
      </c>
      <c r="S7" s="496" t="e">
        <f>D7/D45</f>
        <v>#DIV/0!</v>
      </c>
    </row>
    <row r="8" spans="1:30" ht="15" thickBot="1" x14ac:dyDescent="0.3">
      <c r="B8" s="497" t="s">
        <v>140</v>
      </c>
      <c r="C8" s="248"/>
      <c r="D8" s="498">
        <f>SUM(D9:D16)</f>
        <v>0</v>
      </c>
      <c r="E8" s="248"/>
      <c r="F8" s="499">
        <f>SUM(F9:F16)</f>
        <v>0</v>
      </c>
      <c r="G8" s="498" t="e">
        <f>SUM(G9:G16)</f>
        <v>#DIV/0!</v>
      </c>
      <c r="H8" s="498" t="e">
        <f>SUM(H9:H16)</f>
        <v>#DIV/0!</v>
      </c>
      <c r="I8" s="500"/>
      <c r="J8" s="501">
        <f>SUM(J9:J16)</f>
        <v>0</v>
      </c>
      <c r="K8" s="502"/>
      <c r="L8" s="259"/>
      <c r="M8" s="259"/>
      <c r="N8" s="259"/>
      <c r="R8" s="503" t="str">
        <f>B24</f>
        <v>DISTRIBUZIONE CALORE</v>
      </c>
      <c r="S8" s="504" t="e">
        <f>D24/D45</f>
        <v>#DIV/0!</v>
      </c>
      <c r="AC8" s="250" t="s">
        <v>387</v>
      </c>
    </row>
    <row r="9" spans="1:30" ht="15.75" customHeight="1" thickBot="1" x14ac:dyDescent="0.3">
      <c r="B9" s="505"/>
      <c r="C9" s="506" t="s">
        <v>28</v>
      </c>
      <c r="D9" s="202">
        <v>0</v>
      </c>
      <c r="E9" s="203">
        <v>50</v>
      </c>
      <c r="F9" s="507">
        <f>D9/E9</f>
        <v>0</v>
      </c>
      <c r="G9" s="508" t="e">
        <f t="shared" ref="G9:G22" si="0">D9/$D$38*$P$16</f>
        <v>#DIV/0!</v>
      </c>
      <c r="H9" s="508" t="e">
        <f t="shared" ref="H9:H22" si="1">D9/$D$38*$P$11</f>
        <v>#DIV/0!</v>
      </c>
      <c r="I9" s="204">
        <v>5.0000000000000001E-4</v>
      </c>
      <c r="J9" s="509">
        <f t="shared" ref="J9:J22" si="2">I9*D9</f>
        <v>0</v>
      </c>
      <c r="K9" s="502"/>
      <c r="L9" s="258"/>
      <c r="M9" s="258"/>
      <c r="N9" s="510"/>
      <c r="O9" s="876" t="s">
        <v>426</v>
      </c>
      <c r="P9" s="876" t="s">
        <v>413</v>
      </c>
      <c r="Q9" s="511"/>
      <c r="R9" s="512" t="str">
        <f>B40</f>
        <v>ONORARI E ALTRI COSTI</v>
      </c>
      <c r="S9" s="504" t="e">
        <f>D40/D45</f>
        <v>#DIV/0!</v>
      </c>
      <c r="AC9" s="495" t="s">
        <v>28</v>
      </c>
      <c r="AD9" s="513" t="e">
        <f>D18/$D$17</f>
        <v>#DIV/0!</v>
      </c>
    </row>
    <row r="10" spans="1:30" ht="15.75" thickBot="1" x14ac:dyDescent="0.3">
      <c r="B10" s="514"/>
      <c r="C10" s="248" t="s">
        <v>29</v>
      </c>
      <c r="D10" s="202">
        <v>0</v>
      </c>
      <c r="E10" s="203">
        <v>25</v>
      </c>
      <c r="F10" s="507">
        <f t="shared" ref="F10:F22" si="3">D10/E10</f>
        <v>0</v>
      </c>
      <c r="G10" s="508" t="e">
        <f t="shared" si="0"/>
        <v>#DIV/0!</v>
      </c>
      <c r="H10" s="508" t="e">
        <f t="shared" si="1"/>
        <v>#DIV/0!</v>
      </c>
      <c r="I10" s="204">
        <v>1E-3</v>
      </c>
      <c r="J10" s="509">
        <f t="shared" si="2"/>
        <v>0</v>
      </c>
      <c r="K10" s="515" t="s">
        <v>298</v>
      </c>
      <c r="L10" s="516" t="s">
        <v>410</v>
      </c>
      <c r="M10" s="517"/>
      <c r="N10" s="518"/>
      <c r="O10" s="876"/>
      <c r="P10" s="876"/>
      <c r="Q10" s="511"/>
      <c r="R10" s="519" t="s">
        <v>85</v>
      </c>
      <c r="S10" s="520" t="e">
        <f>SUM(S7:S9)</f>
        <v>#DIV/0!</v>
      </c>
      <c r="AC10" s="503" t="str">
        <f>Investimenti!C19</f>
        <v>Cogeneratore</v>
      </c>
      <c r="AD10" s="521" t="e">
        <f>D19/$D$17</f>
        <v>#DIV/0!</v>
      </c>
    </row>
    <row r="11" spans="1:30" x14ac:dyDescent="0.25">
      <c r="B11" s="505"/>
      <c r="C11" s="506" t="s">
        <v>281</v>
      </c>
      <c r="D11" s="202">
        <v>0</v>
      </c>
      <c r="E11" s="203">
        <v>25</v>
      </c>
      <c r="F11" s="507">
        <f t="shared" si="3"/>
        <v>0</v>
      </c>
      <c r="G11" s="508" t="e">
        <f t="shared" si="0"/>
        <v>#DIV/0!</v>
      </c>
      <c r="H11" s="508" t="e">
        <f t="shared" si="1"/>
        <v>#DIV/0!</v>
      </c>
      <c r="I11" s="204">
        <v>1E-3</v>
      </c>
      <c r="J11" s="509">
        <f t="shared" si="2"/>
        <v>0</v>
      </c>
      <c r="K11" s="502"/>
      <c r="L11" s="522" t="s">
        <v>412</v>
      </c>
      <c r="M11" s="523" t="s">
        <v>2</v>
      </c>
      <c r="N11" s="205">
        <v>0.01</v>
      </c>
      <c r="O11" s="524">
        <f>PMT(N11,N12,N6*(-1))</f>
        <v>0</v>
      </c>
      <c r="P11" s="524">
        <f>(O11*N12-(N6))/N12</f>
        <v>0</v>
      </c>
      <c r="AC11" s="503" t="s">
        <v>29</v>
      </c>
      <c r="AD11" s="521" t="e">
        <f>D20/$D$17</f>
        <v>#DIV/0!</v>
      </c>
    </row>
    <row r="12" spans="1:30" ht="15" thickBot="1" x14ac:dyDescent="0.3">
      <c r="B12" s="505"/>
      <c r="C12" s="506" t="s">
        <v>280</v>
      </c>
      <c r="D12" s="202">
        <v>0</v>
      </c>
      <c r="E12" s="203">
        <v>25</v>
      </c>
      <c r="F12" s="507">
        <f t="shared" si="3"/>
        <v>0</v>
      </c>
      <c r="G12" s="508" t="e">
        <f t="shared" si="0"/>
        <v>#DIV/0!</v>
      </c>
      <c r="H12" s="508" t="e">
        <f t="shared" si="1"/>
        <v>#DIV/0!</v>
      </c>
      <c r="I12" s="204">
        <v>1E-3</v>
      </c>
      <c r="J12" s="509">
        <f t="shared" si="2"/>
        <v>0</v>
      </c>
      <c r="K12" s="502"/>
      <c r="L12" s="522" t="s">
        <v>414</v>
      </c>
      <c r="M12" s="523" t="s">
        <v>415</v>
      </c>
      <c r="N12" s="206">
        <v>20</v>
      </c>
      <c r="Q12" s="249"/>
      <c r="AC12" s="525" t="s">
        <v>147</v>
      </c>
      <c r="AD12" s="526" t="e">
        <f>(D21+D22)/$D$17</f>
        <v>#DIV/0!</v>
      </c>
    </row>
    <row r="13" spans="1:30" ht="15.75" customHeight="1" thickBot="1" x14ac:dyDescent="0.3">
      <c r="B13" s="505"/>
      <c r="C13" s="506" t="s">
        <v>210</v>
      </c>
      <c r="D13" s="202">
        <v>0</v>
      </c>
      <c r="E13" s="203">
        <v>25</v>
      </c>
      <c r="F13" s="507">
        <f t="shared" si="3"/>
        <v>0</v>
      </c>
      <c r="G13" s="508" t="e">
        <f t="shared" si="0"/>
        <v>#DIV/0!</v>
      </c>
      <c r="H13" s="508" t="e">
        <f t="shared" si="1"/>
        <v>#DIV/0!</v>
      </c>
      <c r="I13" s="204">
        <v>1E-3</v>
      </c>
      <c r="J13" s="509">
        <f t="shared" si="2"/>
        <v>0</v>
      </c>
      <c r="K13" s="502"/>
      <c r="L13" s="258"/>
      <c r="M13" s="258"/>
      <c r="N13" s="258"/>
      <c r="Q13" s="249"/>
      <c r="AC13" s="519" t="s">
        <v>150</v>
      </c>
      <c r="AD13" s="527" t="e">
        <f>SUM(AD9:AD12)</f>
        <v>#DIV/0!</v>
      </c>
    </row>
    <row r="14" spans="1:30" ht="14.25" customHeight="1" x14ac:dyDescent="0.25">
      <c r="B14" s="528"/>
      <c r="C14" s="506" t="s">
        <v>285</v>
      </c>
      <c r="D14" s="202">
        <v>0</v>
      </c>
      <c r="E14" s="203">
        <v>25</v>
      </c>
      <c r="F14" s="507">
        <f t="shared" si="3"/>
        <v>0</v>
      </c>
      <c r="G14" s="508" t="e">
        <f t="shared" si="0"/>
        <v>#DIV/0!</v>
      </c>
      <c r="H14" s="508" t="e">
        <f t="shared" si="1"/>
        <v>#DIV/0!</v>
      </c>
      <c r="I14" s="204">
        <v>1E-3</v>
      </c>
      <c r="J14" s="509">
        <f t="shared" ref="J14" si="4">I14*D14</f>
        <v>0</v>
      </c>
      <c r="K14" s="502"/>
      <c r="L14" s="258"/>
      <c r="M14" s="258"/>
      <c r="N14" s="258"/>
      <c r="O14" s="529" t="s">
        <v>425</v>
      </c>
      <c r="P14" s="518" t="s">
        <v>418</v>
      </c>
      <c r="Q14" s="249"/>
      <c r="AC14" s="248"/>
      <c r="AD14" s="530"/>
    </row>
    <row r="15" spans="1:30" ht="14.25" customHeight="1" x14ac:dyDescent="0.25">
      <c r="B15" s="207" t="s">
        <v>504</v>
      </c>
      <c r="C15" s="615" t="s">
        <v>501</v>
      </c>
      <c r="D15" s="208">
        <v>0</v>
      </c>
      <c r="E15" s="209">
        <v>30</v>
      </c>
      <c r="F15" s="507">
        <f t="shared" ref="F15" si="5">D15/E15</f>
        <v>0</v>
      </c>
      <c r="G15" s="508" t="e">
        <f t="shared" si="0"/>
        <v>#DIV/0!</v>
      </c>
      <c r="H15" s="508" t="e">
        <f t="shared" si="1"/>
        <v>#DIV/0!</v>
      </c>
      <c r="I15" s="204">
        <v>1E-3</v>
      </c>
      <c r="J15" s="509">
        <f t="shared" ref="J15" si="6">I15*D15</f>
        <v>0</v>
      </c>
      <c r="K15" s="502"/>
      <c r="L15" s="516" t="s">
        <v>411</v>
      </c>
      <c r="M15" s="480"/>
      <c r="N15" s="517"/>
      <c r="O15" s="531"/>
      <c r="P15" s="518" t="s">
        <v>417</v>
      </c>
      <c r="Q15" s="249"/>
      <c r="AC15" s="248"/>
      <c r="AD15" s="530"/>
    </row>
    <row r="16" spans="1:30" ht="15" thickBot="1" x14ac:dyDescent="0.3">
      <c r="B16" s="210"/>
      <c r="C16" s="615" t="s">
        <v>502</v>
      </c>
      <c r="D16" s="208">
        <v>0</v>
      </c>
      <c r="E16" s="209">
        <v>25</v>
      </c>
      <c r="F16" s="532">
        <f t="shared" si="3"/>
        <v>0</v>
      </c>
      <c r="G16" s="533" t="e">
        <f t="shared" si="0"/>
        <v>#DIV/0!</v>
      </c>
      <c r="H16" s="533" t="e">
        <f t="shared" si="1"/>
        <v>#DIV/0!</v>
      </c>
      <c r="I16" s="211">
        <v>1E-3</v>
      </c>
      <c r="J16" s="534">
        <f t="shared" si="2"/>
        <v>0</v>
      </c>
      <c r="K16" s="488"/>
      <c r="L16" s="522" t="s">
        <v>412</v>
      </c>
      <c r="M16" s="508" t="s">
        <v>2</v>
      </c>
      <c r="N16" s="212">
        <v>0.03</v>
      </c>
      <c r="O16" s="524">
        <f>PMT(N16,N17,N7*(-1))</f>
        <v>0</v>
      </c>
      <c r="P16" s="498">
        <f>(O16*N17-N7)/N17</f>
        <v>0</v>
      </c>
      <c r="Q16" s="481"/>
    </row>
    <row r="17" spans="1:31" ht="15" x14ac:dyDescent="0.25">
      <c r="B17" s="535" t="s">
        <v>387</v>
      </c>
      <c r="C17" s="536"/>
      <c r="D17" s="537">
        <f>SUM(D18:D22)</f>
        <v>0</v>
      </c>
      <c r="E17" s="538"/>
      <c r="F17" s="539">
        <f>SUM(F18:F22)</f>
        <v>0</v>
      </c>
      <c r="G17" s="539" t="e">
        <f t="shared" ref="G17:H17" si="7">SUM(G18:G22)</f>
        <v>#DIV/0!</v>
      </c>
      <c r="H17" s="539" t="e">
        <f t="shared" si="7"/>
        <v>#DIV/0!</v>
      </c>
      <c r="I17" s="536"/>
      <c r="J17" s="540">
        <f>SUM(J18:J22)</f>
        <v>0</v>
      </c>
      <c r="K17" s="515" t="s">
        <v>301</v>
      </c>
      <c r="L17" s="541" t="s">
        <v>414</v>
      </c>
      <c r="M17" s="489" t="s">
        <v>416</v>
      </c>
      <c r="N17" s="213">
        <v>20</v>
      </c>
      <c r="O17" s="248"/>
      <c r="P17" s="248"/>
      <c r="Q17" s="481"/>
    </row>
    <row r="18" spans="1:31" x14ac:dyDescent="0.25">
      <c r="B18" s="512"/>
      <c r="C18" s="500" t="s">
        <v>28</v>
      </c>
      <c r="D18" s="202">
        <v>0</v>
      </c>
      <c r="E18" s="203">
        <v>50</v>
      </c>
      <c r="F18" s="507">
        <f t="shared" si="3"/>
        <v>0</v>
      </c>
      <c r="G18" s="508" t="e">
        <f t="shared" si="0"/>
        <v>#DIV/0!</v>
      </c>
      <c r="H18" s="508" t="e">
        <f t="shared" si="1"/>
        <v>#DIV/0!</v>
      </c>
      <c r="I18" s="214">
        <v>1.4999999999999999E-2</v>
      </c>
      <c r="J18" s="509">
        <f t="shared" si="2"/>
        <v>0</v>
      </c>
      <c r="K18" s="502"/>
      <c r="L18" s="258"/>
      <c r="M18" s="258"/>
      <c r="N18" s="258"/>
      <c r="Q18" s="259"/>
    </row>
    <row r="19" spans="1:31" ht="15" x14ac:dyDescent="0.25">
      <c r="B19" s="512"/>
      <c r="C19" s="542" t="s">
        <v>518</v>
      </c>
      <c r="D19" s="202">
        <v>0</v>
      </c>
      <c r="E19" s="203">
        <v>25</v>
      </c>
      <c r="F19" s="507">
        <f t="shared" si="3"/>
        <v>0</v>
      </c>
      <c r="G19" s="508" t="e">
        <f t="shared" si="0"/>
        <v>#DIV/0!</v>
      </c>
      <c r="H19" s="508" t="e">
        <f t="shared" si="1"/>
        <v>#DIV/0!</v>
      </c>
      <c r="I19" s="214">
        <v>1.4999999999999999E-2</v>
      </c>
      <c r="J19" s="509">
        <f t="shared" si="2"/>
        <v>0</v>
      </c>
      <c r="K19" s="515" t="s">
        <v>300</v>
      </c>
      <c r="L19" s="480" t="s">
        <v>420</v>
      </c>
      <c r="M19" s="508"/>
      <c r="N19" s="508"/>
      <c r="Q19" s="248"/>
    </row>
    <row r="20" spans="1:31" x14ac:dyDescent="0.25">
      <c r="B20" s="543"/>
      <c r="C20" s="542" t="s">
        <v>29</v>
      </c>
      <c r="D20" s="202">
        <v>0</v>
      </c>
      <c r="E20" s="203">
        <v>25</v>
      </c>
      <c r="F20" s="507">
        <f t="shared" si="3"/>
        <v>0</v>
      </c>
      <c r="G20" s="508" t="e">
        <f t="shared" si="0"/>
        <v>#DIV/0!</v>
      </c>
      <c r="H20" s="508" t="e">
        <f t="shared" si="1"/>
        <v>#DIV/0!</v>
      </c>
      <c r="I20" s="214">
        <v>1.4999999999999999E-2</v>
      </c>
      <c r="J20" s="509">
        <f t="shared" si="2"/>
        <v>0</v>
      </c>
      <c r="K20" s="502"/>
      <c r="L20" s="522" t="s">
        <v>228</v>
      </c>
      <c r="M20" s="508" t="s">
        <v>2</v>
      </c>
      <c r="N20" s="215">
        <v>0</v>
      </c>
    </row>
    <row r="21" spans="1:31" x14ac:dyDescent="0.25">
      <c r="B21" s="207" t="s">
        <v>504</v>
      </c>
      <c r="C21" s="616" t="s">
        <v>501</v>
      </c>
      <c r="D21" s="202">
        <v>0</v>
      </c>
      <c r="E21" s="203">
        <v>30</v>
      </c>
      <c r="F21" s="507">
        <f t="shared" ref="F21" si="8">D21/E21</f>
        <v>0</v>
      </c>
      <c r="G21" s="508" t="e">
        <f t="shared" si="0"/>
        <v>#DIV/0!</v>
      </c>
      <c r="H21" s="508" t="e">
        <f t="shared" si="1"/>
        <v>#DIV/0!</v>
      </c>
      <c r="I21" s="214">
        <v>1.4999999999999999E-2</v>
      </c>
      <c r="J21" s="509">
        <f t="shared" ref="J21" si="9">I21*D21</f>
        <v>0</v>
      </c>
      <c r="L21" s="522" t="s">
        <v>75</v>
      </c>
      <c r="M21" s="508" t="s">
        <v>2</v>
      </c>
      <c r="N21" s="215">
        <v>0</v>
      </c>
    </row>
    <row r="22" spans="1:31" ht="15" thickBot="1" x14ac:dyDescent="0.3">
      <c r="B22" s="210"/>
      <c r="C22" s="617" t="s">
        <v>502</v>
      </c>
      <c r="D22" s="216">
        <v>0</v>
      </c>
      <c r="E22" s="217">
        <v>25</v>
      </c>
      <c r="F22" s="544">
        <f t="shared" si="3"/>
        <v>0</v>
      </c>
      <c r="G22" s="545" t="e">
        <f t="shared" si="0"/>
        <v>#DIV/0!</v>
      </c>
      <c r="H22" s="545" t="e">
        <f t="shared" si="1"/>
        <v>#DIV/0!</v>
      </c>
      <c r="I22" s="218">
        <v>1E-3</v>
      </c>
      <c r="J22" s="546">
        <f t="shared" si="2"/>
        <v>0</v>
      </c>
    </row>
    <row r="23" spans="1:31" ht="6" customHeight="1" thickBot="1" x14ac:dyDescent="0.3">
      <c r="B23" s="547"/>
      <c r="C23" s="548"/>
      <c r="D23" s="549"/>
      <c r="E23" s="550"/>
      <c r="F23" s="551"/>
      <c r="G23" s="552"/>
      <c r="H23" s="553"/>
      <c r="I23" s="554"/>
      <c r="J23" s="555"/>
    </row>
    <row r="24" spans="1:31" ht="23.25" customHeight="1" thickBot="1" x14ac:dyDescent="0.3">
      <c r="A24" s="198" t="s">
        <v>295</v>
      </c>
      <c r="B24" s="874" t="s">
        <v>148</v>
      </c>
      <c r="C24" s="875"/>
      <c r="D24" s="556">
        <f>SUM(D25:D37)</f>
        <v>0</v>
      </c>
      <c r="E24" s="557"/>
      <c r="F24" s="556">
        <f>SUM(F25:F37)</f>
        <v>0</v>
      </c>
      <c r="G24" s="556" t="e">
        <f>SUM(G25:G37)</f>
        <v>#DIV/0!</v>
      </c>
      <c r="H24" s="556" t="e">
        <f>SUM(H25:H37)</f>
        <v>#DIV/0!</v>
      </c>
      <c r="I24" s="558"/>
      <c r="J24" s="559">
        <f>SUM(J25:J37)</f>
        <v>0</v>
      </c>
      <c r="K24" s="488"/>
    </row>
    <row r="25" spans="1:31" s="249" customFormat="1" ht="15" thickBot="1" x14ac:dyDescent="0.3">
      <c r="B25" s="560" t="s">
        <v>214</v>
      </c>
      <c r="C25" s="561" t="s">
        <v>28</v>
      </c>
      <c r="D25" s="219">
        <v>0</v>
      </c>
      <c r="E25" s="220">
        <v>50</v>
      </c>
      <c r="F25" s="562">
        <f t="shared" ref="F25:F37" si="10">D25/E25</f>
        <v>0</v>
      </c>
      <c r="G25" s="508" t="e">
        <f t="shared" ref="G25:G37" si="11">D25/$D$38*$P$16</f>
        <v>#DIV/0!</v>
      </c>
      <c r="H25" s="508" t="e">
        <f t="shared" ref="H25:H37" si="12">D25/$D$38*$P$11</f>
        <v>#DIV/0!</v>
      </c>
      <c r="I25" s="221">
        <v>1E-3</v>
      </c>
      <c r="J25" s="563">
        <f t="shared" ref="J25:J31" si="13">I25*D25</f>
        <v>0</v>
      </c>
      <c r="K25" s="502"/>
      <c r="O25" s="247"/>
      <c r="P25" s="247"/>
      <c r="Q25" s="247"/>
      <c r="R25" s="250" t="s">
        <v>148</v>
      </c>
      <c r="S25" s="247"/>
      <c r="AC25" s="251"/>
      <c r="AD25" s="251"/>
      <c r="AE25" s="251"/>
    </row>
    <row r="26" spans="1:31" s="249" customFormat="1" x14ac:dyDescent="0.25">
      <c r="B26" s="564"/>
      <c r="C26" s="565" t="s">
        <v>211</v>
      </c>
      <c r="D26" s="202">
        <v>0</v>
      </c>
      <c r="E26" s="203">
        <v>50</v>
      </c>
      <c r="F26" s="489">
        <f t="shared" si="10"/>
        <v>0</v>
      </c>
      <c r="G26" s="508" t="e">
        <f t="shared" si="11"/>
        <v>#DIV/0!</v>
      </c>
      <c r="H26" s="508" t="e">
        <f t="shared" si="12"/>
        <v>#DIV/0!</v>
      </c>
      <c r="I26" s="222">
        <v>1E-3</v>
      </c>
      <c r="J26" s="509">
        <f>I26*D26</f>
        <v>0</v>
      </c>
      <c r="K26" s="258"/>
      <c r="Q26" s="247"/>
      <c r="R26" s="566" t="s">
        <v>481</v>
      </c>
      <c r="S26" s="567" t="e">
        <f>D27/$D$24</f>
        <v>#DIV/0!</v>
      </c>
      <c r="AC26" s="251"/>
      <c r="AD26" s="251"/>
      <c r="AE26" s="251"/>
    </row>
    <row r="27" spans="1:31" x14ac:dyDescent="0.25">
      <c r="B27" s="568"/>
      <c r="C27" s="569" t="s">
        <v>209</v>
      </c>
      <c r="D27" s="202">
        <v>0</v>
      </c>
      <c r="E27" s="203">
        <v>50</v>
      </c>
      <c r="F27" s="489">
        <f t="shared" si="10"/>
        <v>0</v>
      </c>
      <c r="G27" s="508" t="e">
        <f t="shared" si="11"/>
        <v>#DIV/0!</v>
      </c>
      <c r="H27" s="508" t="e">
        <f t="shared" si="12"/>
        <v>#DIV/0!</v>
      </c>
      <c r="I27" s="222">
        <v>1E-3</v>
      </c>
      <c r="J27" s="509">
        <f t="shared" si="13"/>
        <v>0</v>
      </c>
      <c r="K27" s="258"/>
      <c r="L27" s="258"/>
      <c r="M27" s="258"/>
      <c r="N27" s="258"/>
      <c r="O27" s="249"/>
      <c r="P27" s="249"/>
      <c r="Q27" s="249"/>
      <c r="R27" s="512" t="s">
        <v>482</v>
      </c>
      <c r="S27" s="570" t="e">
        <f>D28/$D$24</f>
        <v>#DIV/0!</v>
      </c>
      <c r="AC27" s="468"/>
      <c r="AD27" s="248"/>
      <c r="AE27" s="248"/>
    </row>
    <row r="28" spans="1:31" x14ac:dyDescent="0.25">
      <c r="B28" s="571"/>
      <c r="C28" s="569" t="s">
        <v>376</v>
      </c>
      <c r="D28" s="202">
        <v>0</v>
      </c>
      <c r="E28" s="203">
        <v>50</v>
      </c>
      <c r="F28" s="489">
        <f t="shared" si="10"/>
        <v>0</v>
      </c>
      <c r="G28" s="508" t="e">
        <f t="shared" si="11"/>
        <v>#DIV/0!</v>
      </c>
      <c r="H28" s="508" t="e">
        <f t="shared" si="12"/>
        <v>#DIV/0!</v>
      </c>
      <c r="I28" s="222">
        <v>1E-3</v>
      </c>
      <c r="J28" s="509">
        <f t="shared" si="13"/>
        <v>0</v>
      </c>
      <c r="K28" s="258"/>
      <c r="L28" s="258"/>
      <c r="M28" s="258"/>
      <c r="N28" s="258"/>
      <c r="Q28" s="249"/>
      <c r="R28" s="512" t="s">
        <v>483</v>
      </c>
      <c r="S28" s="570" t="e">
        <f>(D29+D30)/$D$24</f>
        <v>#DIV/0!</v>
      </c>
      <c r="AC28" s="248"/>
      <c r="AD28" s="572"/>
      <c r="AE28" s="248"/>
    </row>
    <row r="29" spans="1:31" x14ac:dyDescent="0.25">
      <c r="B29" s="560" t="s">
        <v>212</v>
      </c>
      <c r="C29" s="569" t="s">
        <v>329</v>
      </c>
      <c r="D29" s="202">
        <v>0</v>
      </c>
      <c r="E29" s="203">
        <v>50</v>
      </c>
      <c r="F29" s="489">
        <f t="shared" si="10"/>
        <v>0</v>
      </c>
      <c r="G29" s="508" t="e">
        <f t="shared" si="11"/>
        <v>#DIV/0!</v>
      </c>
      <c r="H29" s="508" t="e">
        <f t="shared" si="12"/>
        <v>#DIV/0!</v>
      </c>
      <c r="I29" s="222">
        <v>0</v>
      </c>
      <c r="J29" s="509">
        <f>I29*D29</f>
        <v>0</v>
      </c>
      <c r="K29" s="258"/>
      <c r="L29" s="258"/>
      <c r="M29" s="258"/>
      <c r="N29" s="258"/>
      <c r="R29" s="512" t="s">
        <v>186</v>
      </c>
      <c r="S29" s="570" t="e">
        <f>(D31+D32+D34)/$D$24</f>
        <v>#DIV/0!</v>
      </c>
      <c r="AC29" s="248"/>
      <c r="AD29" s="572"/>
      <c r="AE29" s="248"/>
    </row>
    <row r="30" spans="1:31" x14ac:dyDescent="0.25">
      <c r="B30" s="560"/>
      <c r="C30" s="569" t="s">
        <v>330</v>
      </c>
      <c r="D30" s="202">
        <v>0</v>
      </c>
      <c r="E30" s="203">
        <v>50</v>
      </c>
      <c r="F30" s="489">
        <f t="shared" si="10"/>
        <v>0</v>
      </c>
      <c r="G30" s="508" t="e">
        <f t="shared" si="11"/>
        <v>#DIV/0!</v>
      </c>
      <c r="H30" s="508" t="e">
        <f t="shared" si="12"/>
        <v>#DIV/0!</v>
      </c>
      <c r="I30" s="222">
        <v>0</v>
      </c>
      <c r="J30" s="509">
        <f>I30*D30</f>
        <v>0</v>
      </c>
      <c r="K30" s="258"/>
      <c r="L30" s="258"/>
      <c r="M30" s="258"/>
      <c r="N30" s="258"/>
      <c r="R30" s="512" t="s">
        <v>484</v>
      </c>
      <c r="S30" s="570" t="e">
        <f>D33/$D$24</f>
        <v>#DIV/0!</v>
      </c>
      <c r="AC30" s="248"/>
      <c r="AD30" s="572"/>
      <c r="AE30" s="248"/>
    </row>
    <row r="31" spans="1:31" ht="15" thickBot="1" x14ac:dyDescent="0.3">
      <c r="B31" s="568"/>
      <c r="C31" s="569" t="s">
        <v>124</v>
      </c>
      <c r="D31" s="202">
        <v>0</v>
      </c>
      <c r="E31" s="203">
        <v>25</v>
      </c>
      <c r="F31" s="489">
        <f t="shared" si="10"/>
        <v>0</v>
      </c>
      <c r="G31" s="508" t="e">
        <f t="shared" si="11"/>
        <v>#DIV/0!</v>
      </c>
      <c r="H31" s="508" t="e">
        <f t="shared" si="12"/>
        <v>#DIV/0!</v>
      </c>
      <c r="I31" s="222">
        <v>1E-3</v>
      </c>
      <c r="J31" s="509">
        <f t="shared" si="13"/>
        <v>0</v>
      </c>
      <c r="K31" s="258"/>
      <c r="L31" s="258"/>
      <c r="M31" s="258"/>
      <c r="N31" s="258"/>
      <c r="R31" s="543" t="s">
        <v>151</v>
      </c>
      <c r="S31" s="573" t="e">
        <f>(D35+D36+D37)/$D$24</f>
        <v>#DIV/0!</v>
      </c>
      <c r="AC31" s="248"/>
      <c r="AD31" s="574"/>
      <c r="AE31" s="248"/>
    </row>
    <row r="32" spans="1:31" ht="15" thickBot="1" x14ac:dyDescent="0.3">
      <c r="B32" s="568"/>
      <c r="C32" s="569" t="s">
        <v>213</v>
      </c>
      <c r="D32" s="202">
        <v>0</v>
      </c>
      <c r="E32" s="203">
        <v>25</v>
      </c>
      <c r="F32" s="489">
        <f t="shared" si="10"/>
        <v>0</v>
      </c>
      <c r="G32" s="508" t="e">
        <f t="shared" si="11"/>
        <v>#DIV/0!</v>
      </c>
      <c r="H32" s="508" t="e">
        <f t="shared" si="12"/>
        <v>#DIV/0!</v>
      </c>
      <c r="I32" s="222">
        <v>1E-3</v>
      </c>
      <c r="J32" s="509">
        <f>I32*D32</f>
        <v>0</v>
      </c>
      <c r="K32" s="258"/>
      <c r="L32" s="258"/>
      <c r="M32" s="258"/>
      <c r="N32" s="258"/>
      <c r="O32" s="575"/>
      <c r="P32" s="575"/>
      <c r="R32" s="519" t="s">
        <v>85</v>
      </c>
      <c r="S32" s="520" t="e">
        <f>SUM(S26:S31)</f>
        <v>#DIV/0!</v>
      </c>
      <c r="AC32" s="248"/>
      <c r="AD32" s="248"/>
      <c r="AE32" s="248"/>
    </row>
    <row r="33" spans="1:31" x14ac:dyDescent="0.25">
      <c r="B33" s="568"/>
      <c r="C33" s="569" t="s">
        <v>284</v>
      </c>
      <c r="D33" s="202">
        <v>0</v>
      </c>
      <c r="E33" s="203">
        <v>25</v>
      </c>
      <c r="F33" s="489">
        <f t="shared" si="10"/>
        <v>0</v>
      </c>
      <c r="G33" s="508" t="e">
        <f t="shared" si="11"/>
        <v>#DIV/0!</v>
      </c>
      <c r="H33" s="508" t="e">
        <f t="shared" si="12"/>
        <v>#DIV/0!</v>
      </c>
      <c r="I33" s="222">
        <v>1E-3</v>
      </c>
      <c r="J33" s="509">
        <f>I33*D33</f>
        <v>0</v>
      </c>
      <c r="K33" s="258"/>
      <c r="L33" s="258"/>
      <c r="M33" s="258"/>
      <c r="N33" s="258"/>
      <c r="O33" s="575"/>
      <c r="P33" s="575"/>
      <c r="Q33" s="575"/>
      <c r="R33" s="248"/>
      <c r="S33" s="574"/>
      <c r="AC33" s="248"/>
      <c r="AD33" s="574"/>
      <c r="AE33" s="248"/>
    </row>
    <row r="34" spans="1:31" x14ac:dyDescent="0.25">
      <c r="B34" s="568"/>
      <c r="C34" s="569" t="s">
        <v>175</v>
      </c>
      <c r="D34" s="202">
        <v>0</v>
      </c>
      <c r="E34" s="203">
        <v>25</v>
      </c>
      <c r="F34" s="489">
        <f t="shared" ref="F34" si="14">D34/E34</f>
        <v>0</v>
      </c>
      <c r="G34" s="508" t="e">
        <f t="shared" si="11"/>
        <v>#DIV/0!</v>
      </c>
      <c r="H34" s="508" t="e">
        <f t="shared" si="12"/>
        <v>#DIV/0!</v>
      </c>
      <c r="I34" s="222">
        <v>1E-3</v>
      </c>
      <c r="J34" s="509">
        <f>I34*D34</f>
        <v>0</v>
      </c>
      <c r="K34" s="258"/>
      <c r="L34" s="258"/>
      <c r="M34" s="258"/>
      <c r="N34" s="258"/>
      <c r="O34" s="575"/>
      <c r="P34" s="575"/>
      <c r="Q34" s="575"/>
      <c r="R34" s="248"/>
      <c r="S34" s="574"/>
      <c r="AC34" s="248"/>
      <c r="AD34" s="574"/>
      <c r="AE34" s="248"/>
    </row>
    <row r="35" spans="1:31" x14ac:dyDescent="0.25">
      <c r="B35" s="571"/>
      <c r="C35" s="619" t="s">
        <v>147</v>
      </c>
      <c r="D35" s="202">
        <v>0</v>
      </c>
      <c r="E35" s="203">
        <v>25</v>
      </c>
      <c r="F35" s="489">
        <f t="shared" si="10"/>
        <v>0</v>
      </c>
      <c r="G35" s="508" t="e">
        <f t="shared" si="11"/>
        <v>#DIV/0!</v>
      </c>
      <c r="H35" s="508" t="e">
        <f t="shared" si="12"/>
        <v>#DIV/0!</v>
      </c>
      <c r="I35" s="222">
        <v>1E-3</v>
      </c>
      <c r="J35" s="509">
        <f>I35*D35</f>
        <v>0</v>
      </c>
      <c r="K35" s="258"/>
      <c r="L35" s="258"/>
      <c r="M35" s="258"/>
      <c r="N35" s="258"/>
      <c r="O35" s="575"/>
      <c r="P35" s="575"/>
      <c r="Q35" s="575"/>
      <c r="AC35" s="248"/>
      <c r="AD35" s="248"/>
      <c r="AE35" s="248"/>
    </row>
    <row r="36" spans="1:31" x14ac:dyDescent="0.25">
      <c r="B36" s="223" t="s">
        <v>503</v>
      </c>
      <c r="C36" s="616" t="s">
        <v>501</v>
      </c>
      <c r="D36" s="208">
        <v>0</v>
      </c>
      <c r="E36" s="209">
        <v>30</v>
      </c>
      <c r="F36" s="489">
        <f t="shared" ref="F36" si="15">D36/E36</f>
        <v>0</v>
      </c>
      <c r="G36" s="508" t="e">
        <f t="shared" si="11"/>
        <v>#DIV/0!</v>
      </c>
      <c r="H36" s="508" t="e">
        <f t="shared" si="12"/>
        <v>#DIV/0!</v>
      </c>
      <c r="I36" s="222">
        <v>1E-3</v>
      </c>
      <c r="J36" s="509">
        <f t="shared" ref="J36" si="16">I36*D36</f>
        <v>0</v>
      </c>
      <c r="K36" s="258"/>
      <c r="L36" s="258"/>
      <c r="M36" s="258"/>
      <c r="N36" s="258"/>
      <c r="O36" s="575"/>
      <c r="P36" s="575"/>
      <c r="Q36" s="575"/>
      <c r="AC36" s="248"/>
      <c r="AD36" s="248"/>
      <c r="AE36" s="248"/>
    </row>
    <row r="37" spans="1:31" ht="15" thickBot="1" x14ac:dyDescent="0.3">
      <c r="B37" s="224"/>
      <c r="C37" s="618" t="s">
        <v>502</v>
      </c>
      <c r="D37" s="216">
        <v>0</v>
      </c>
      <c r="E37" s="217">
        <v>25</v>
      </c>
      <c r="F37" s="489">
        <f t="shared" si="10"/>
        <v>0</v>
      </c>
      <c r="G37" s="508" t="e">
        <f t="shared" si="11"/>
        <v>#DIV/0!</v>
      </c>
      <c r="H37" s="508" t="e">
        <f t="shared" si="12"/>
        <v>#DIV/0!</v>
      </c>
      <c r="I37" s="225">
        <v>1E-3</v>
      </c>
      <c r="J37" s="546">
        <f>I37*D37</f>
        <v>0</v>
      </c>
      <c r="K37" s="258"/>
      <c r="L37" s="258"/>
      <c r="M37" s="258"/>
      <c r="N37" s="258"/>
      <c r="O37" s="575"/>
      <c r="P37" s="575"/>
      <c r="Q37" s="575"/>
    </row>
    <row r="38" spans="1:31" ht="15.75" customHeight="1" x14ac:dyDescent="0.25">
      <c r="B38" s="883" t="s">
        <v>0</v>
      </c>
      <c r="C38" s="884"/>
      <c r="D38" s="577">
        <f>D7+D24</f>
        <v>0</v>
      </c>
      <c r="E38" s="578"/>
      <c r="F38" s="579">
        <f>F7+F24</f>
        <v>0</v>
      </c>
      <c r="G38" s="579" t="e">
        <f>G7+G24</f>
        <v>#DIV/0!</v>
      </c>
      <c r="H38" s="579" t="e">
        <f>H7+H24</f>
        <v>#DIV/0!</v>
      </c>
      <c r="I38" s="579"/>
      <c r="J38" s="580">
        <f>J7+J24</f>
        <v>0</v>
      </c>
      <c r="K38" s="253"/>
      <c r="L38" s="258"/>
      <c r="M38" s="258"/>
      <c r="N38" s="258"/>
      <c r="O38" s="575"/>
      <c r="P38" s="575"/>
      <c r="Q38" s="575"/>
    </row>
    <row r="39" spans="1:31" ht="6.75" customHeight="1" thickBot="1" x14ac:dyDescent="0.3">
      <c r="B39" s="581"/>
      <c r="C39" s="576"/>
      <c r="D39" s="582"/>
      <c r="E39" s="583"/>
      <c r="F39" s="584"/>
      <c r="G39" s="585"/>
      <c r="H39" s="586"/>
      <c r="I39" s="587"/>
      <c r="J39" s="588"/>
      <c r="K39" s="589"/>
      <c r="L39" s="258"/>
      <c r="M39" s="258"/>
      <c r="N39" s="258"/>
      <c r="O39" s="575"/>
      <c r="P39" s="575"/>
      <c r="Q39" s="575"/>
    </row>
    <row r="40" spans="1:31" ht="23.25" customHeight="1" thickBot="1" x14ac:dyDescent="0.3">
      <c r="A40" s="198" t="s">
        <v>296</v>
      </c>
      <c r="B40" s="874" t="s">
        <v>433</v>
      </c>
      <c r="C40" s="875"/>
      <c r="D40" s="556">
        <f>SUM(D41:D44)</f>
        <v>0</v>
      </c>
      <c r="E40" s="557"/>
      <c r="F40" s="556">
        <f>SUM(F41:F44)</f>
        <v>0</v>
      </c>
      <c r="G40" s="556">
        <f>SUM(G41:G44)</f>
        <v>0</v>
      </c>
      <c r="H40" s="556">
        <f>SUM(H41:H44)</f>
        <v>0</v>
      </c>
      <c r="I40" s="556">
        <f>SUM(I41:I44)</f>
        <v>0</v>
      </c>
      <c r="J40" s="559">
        <f>SUM(J41:J44)</f>
        <v>0</v>
      </c>
      <c r="K40" s="589"/>
      <c r="L40" s="253"/>
      <c r="M40" s="253"/>
      <c r="N40" s="253"/>
      <c r="O40" s="590"/>
      <c r="P40" s="590"/>
      <c r="Q40" s="575"/>
    </row>
    <row r="41" spans="1:31" s="249" customFormat="1" x14ac:dyDescent="0.25">
      <c r="B41" s="503"/>
      <c r="C41" s="500" t="s">
        <v>207</v>
      </c>
      <c r="D41" s="489">
        <f>D7*N20</f>
        <v>0</v>
      </c>
      <c r="E41" s="591">
        <v>30</v>
      </c>
      <c r="F41" s="489">
        <f>D41/E41</f>
        <v>0</v>
      </c>
      <c r="G41" s="592"/>
      <c r="H41" s="508"/>
      <c r="I41" s="565"/>
      <c r="J41" s="593"/>
      <c r="K41" s="589"/>
      <c r="L41" s="589"/>
      <c r="M41" s="589"/>
      <c r="N41" s="589"/>
      <c r="Q41" s="590"/>
    </row>
    <row r="42" spans="1:31" s="249" customFormat="1" x14ac:dyDescent="0.25">
      <c r="B42" s="503"/>
      <c r="C42" s="594" t="s">
        <v>208</v>
      </c>
      <c r="D42" s="595">
        <f>D24*N21</f>
        <v>0</v>
      </c>
      <c r="E42" s="596">
        <v>50</v>
      </c>
      <c r="F42" s="489">
        <f>D42/E42</f>
        <v>0</v>
      </c>
      <c r="G42" s="508"/>
      <c r="H42" s="508"/>
      <c r="I42" s="542"/>
      <c r="J42" s="593"/>
      <c r="K42" s="589"/>
      <c r="L42" s="253"/>
      <c r="M42" s="253"/>
      <c r="N42" s="253"/>
      <c r="Q42" s="247"/>
    </row>
    <row r="43" spans="1:31" s="249" customFormat="1" x14ac:dyDescent="0.25">
      <c r="B43" s="503"/>
      <c r="C43" s="542" t="s">
        <v>40</v>
      </c>
      <c r="D43" s="542"/>
      <c r="E43" s="597" t="s">
        <v>1</v>
      </c>
      <c r="F43" s="226">
        <v>0</v>
      </c>
      <c r="G43" s="542"/>
      <c r="H43" s="542"/>
      <c r="I43" s="542"/>
      <c r="J43" s="593"/>
      <c r="K43" s="589"/>
      <c r="L43" s="598"/>
      <c r="M43" s="598"/>
      <c r="N43" s="598"/>
    </row>
    <row r="44" spans="1:31" ht="15" thickBot="1" x14ac:dyDescent="0.3">
      <c r="B44" s="543"/>
      <c r="C44" s="594" t="s">
        <v>99</v>
      </c>
      <c r="D44" s="599"/>
      <c r="E44" s="600" t="s">
        <v>1</v>
      </c>
      <c r="F44" s="227">
        <v>0</v>
      </c>
      <c r="G44" s="599"/>
      <c r="H44" s="599"/>
      <c r="I44" s="594"/>
      <c r="J44" s="601"/>
      <c r="K44" s="589"/>
      <c r="L44" s="589"/>
      <c r="M44" s="589"/>
      <c r="N44" s="589"/>
      <c r="O44" s="249"/>
      <c r="P44" s="249"/>
      <c r="Q44" s="249"/>
    </row>
    <row r="45" spans="1:31" ht="15" customHeight="1" thickBot="1" x14ac:dyDescent="0.3">
      <c r="B45" s="877" t="s">
        <v>434</v>
      </c>
      <c r="C45" s="878"/>
      <c r="D45" s="602">
        <f>D38+D40</f>
        <v>0</v>
      </c>
      <c r="E45" s="603"/>
      <c r="F45" s="602">
        <f>F38+F40</f>
        <v>0</v>
      </c>
      <c r="G45" s="602" t="e">
        <f t="shared" ref="G45:J45" si="17">G38+G40</f>
        <v>#DIV/0!</v>
      </c>
      <c r="H45" s="602" t="e">
        <f t="shared" si="17"/>
        <v>#DIV/0!</v>
      </c>
      <c r="I45" s="602">
        <f t="shared" si="17"/>
        <v>0</v>
      </c>
      <c r="J45" s="604">
        <f t="shared" si="17"/>
        <v>0</v>
      </c>
      <c r="K45" s="605"/>
      <c r="L45" s="589"/>
      <c r="M45" s="589"/>
      <c r="N45" s="589"/>
      <c r="Q45" s="249"/>
    </row>
    <row r="46" spans="1:31" s="250" customFormat="1" x14ac:dyDescent="0.25">
      <c r="B46" s="252"/>
      <c r="C46" s="251"/>
      <c r="D46" s="253"/>
      <c r="E46" s="254"/>
      <c r="F46" s="255"/>
      <c r="G46" s="253"/>
      <c r="H46" s="253"/>
      <c r="I46" s="252"/>
      <c r="J46" s="256"/>
      <c r="K46" s="256"/>
      <c r="L46" s="605"/>
      <c r="M46" s="605"/>
      <c r="N46" s="605"/>
      <c r="O46" s="247"/>
      <c r="P46" s="247"/>
      <c r="Q46" s="247"/>
      <c r="T46" s="247"/>
      <c r="U46" s="247"/>
      <c r="V46" s="247"/>
      <c r="W46" s="247"/>
      <c r="X46" s="247"/>
      <c r="Y46" s="247"/>
      <c r="Z46" s="247"/>
      <c r="AA46" s="247"/>
    </row>
    <row r="47" spans="1:31" s="251" customFormat="1" ht="15" thickBot="1" x14ac:dyDescent="0.3">
      <c r="D47" s="257"/>
      <c r="E47" s="254"/>
      <c r="F47" s="255"/>
      <c r="G47" s="257"/>
      <c r="H47" s="257"/>
      <c r="I47" s="252"/>
      <c r="J47" s="252"/>
      <c r="K47" s="252"/>
      <c r="L47" s="256"/>
      <c r="M47" s="256"/>
      <c r="N47" s="256"/>
      <c r="O47" s="250"/>
      <c r="P47" s="250"/>
      <c r="Q47" s="247"/>
      <c r="R47" s="250" t="s">
        <v>149</v>
      </c>
      <c r="S47" s="247"/>
      <c r="T47" s="247"/>
      <c r="U47" s="247"/>
      <c r="V47" s="247"/>
      <c r="W47" s="247"/>
      <c r="X47" s="247"/>
      <c r="Y47" s="247"/>
      <c r="Z47" s="247"/>
      <c r="AA47" s="247"/>
    </row>
    <row r="48" spans="1:31" x14ac:dyDescent="0.25">
      <c r="D48" s="606"/>
      <c r="I48" s="251"/>
      <c r="J48" s="252"/>
      <c r="K48" s="252"/>
      <c r="L48" s="252"/>
      <c r="M48" s="252"/>
      <c r="N48" s="252"/>
      <c r="O48" s="251"/>
      <c r="P48" s="251"/>
      <c r="Q48" s="250"/>
      <c r="R48" s="607" t="s">
        <v>28</v>
      </c>
      <c r="S48" s="496" t="e">
        <f>D9/$D$8</f>
        <v>#DIV/0!</v>
      </c>
    </row>
    <row r="49" spans="4:19" x14ac:dyDescent="0.25">
      <c r="D49" s="606"/>
      <c r="L49" s="252"/>
      <c r="M49" s="252"/>
      <c r="N49" s="252"/>
      <c r="Q49" s="251"/>
      <c r="R49" s="608" t="s">
        <v>29</v>
      </c>
      <c r="S49" s="504" t="e">
        <f>D10/$D$8</f>
        <v>#DIV/0!</v>
      </c>
    </row>
    <row r="50" spans="4:19" x14ac:dyDescent="0.25">
      <c r="D50" s="606"/>
      <c r="R50" s="609" t="s">
        <v>122</v>
      </c>
      <c r="S50" s="504" t="e">
        <f>(D11+D13)/$D$8</f>
        <v>#DIV/0!</v>
      </c>
    </row>
    <row r="51" spans="4:19" x14ac:dyDescent="0.25">
      <c r="R51" s="609" t="s">
        <v>123</v>
      </c>
      <c r="S51" s="504" t="e">
        <f>D12/$D$8</f>
        <v>#DIV/0!</v>
      </c>
    </row>
    <row r="52" spans="4:19" x14ac:dyDescent="0.25">
      <c r="D52" s="610"/>
      <c r="R52" s="609" t="str">
        <f>C14</f>
        <v>Impiantistica per la distribuzione</v>
      </c>
      <c r="S52" s="504" t="e">
        <f>D14/$D$8</f>
        <v>#DIV/0!</v>
      </c>
    </row>
    <row r="53" spans="4:19" ht="15" thickBot="1" x14ac:dyDescent="0.3">
      <c r="D53" s="610"/>
      <c r="R53" s="611" t="s">
        <v>101</v>
      </c>
      <c r="S53" s="612" t="e">
        <f>(D15+D16)/$D$8</f>
        <v>#DIV/0!</v>
      </c>
    </row>
    <row r="54" spans="4:19" ht="15" thickBot="1" x14ac:dyDescent="0.3">
      <c r="D54" s="610"/>
      <c r="R54" s="613" t="s">
        <v>85</v>
      </c>
      <c r="S54" s="614" t="e">
        <f>SUM(S48:S53)</f>
        <v>#DIV/0!</v>
      </c>
    </row>
    <row r="55" spans="4:19" x14ac:dyDescent="0.25">
      <c r="D55" s="610"/>
    </row>
    <row r="56" spans="4:19" x14ac:dyDescent="0.25">
      <c r="D56" s="610"/>
    </row>
    <row r="57" spans="4:19" x14ac:dyDescent="0.25">
      <c r="D57" s="610"/>
    </row>
    <row r="58" spans="4:19" x14ac:dyDescent="0.25">
      <c r="D58" s="610"/>
    </row>
    <row r="59" spans="4:19" x14ac:dyDescent="0.25">
      <c r="D59" s="610"/>
    </row>
  </sheetData>
  <sheetProtection password="C632" sheet="1" objects="1" scenarios="1"/>
  <mergeCells count="11">
    <mergeCell ref="L2:N2"/>
    <mergeCell ref="B40:C40"/>
    <mergeCell ref="O9:O10"/>
    <mergeCell ref="P9:P10"/>
    <mergeCell ref="B45:C45"/>
    <mergeCell ref="I4:J4"/>
    <mergeCell ref="B24:C24"/>
    <mergeCell ref="B7:C7"/>
    <mergeCell ref="B6:C6"/>
    <mergeCell ref="B38:C38"/>
    <mergeCell ref="G4:H4"/>
  </mergeCells>
  <phoneticPr fontId="34" type="noConversion"/>
  <hyperlinks>
    <hyperlink ref="A40" location="info!A60" display="I3"/>
    <hyperlink ref="A7" location="info!A52" display="I1"/>
    <hyperlink ref="K5" location="info!A64" display="I4"/>
    <hyperlink ref="K10" location="info!A68" display="I5"/>
    <hyperlink ref="K17" location="info!A71" display="I6"/>
    <hyperlink ref="K19" location="info!A74" display="I7"/>
    <hyperlink ref="A24" location="info!A56" display="I2"/>
  </hyperlinks>
  <pageMargins left="0.70866141732283472" right="0.70866141732283472" top="0.74803149606299213" bottom="0.74803149606299213" header="0.31496062992125984" footer="0.31496062992125984"/>
  <pageSetup paperSize="9" scale="44" orientation="landscape"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workbookViewId="0">
      <selection activeCell="C15" sqref="C15"/>
    </sheetView>
  </sheetViews>
  <sheetFormatPr defaultRowHeight="12.75" x14ac:dyDescent="0.2"/>
  <cols>
    <col min="1" max="1" width="4.7109375" style="196" customWidth="1"/>
    <col min="2" max="2" width="40" style="196" bestFit="1" customWidth="1"/>
    <col min="3" max="6" width="15.7109375" style="196" customWidth="1"/>
    <col min="7" max="7" width="9.140625" style="196"/>
    <col min="8" max="8" width="15.7109375" style="291" bestFit="1" customWidth="1"/>
    <col min="9" max="16384" width="9.140625" style="196"/>
  </cols>
  <sheetData>
    <row r="1" spans="1:8" ht="16.5" thickBot="1" x14ac:dyDescent="0.3">
      <c r="A1" s="193"/>
      <c r="B1" s="289" t="s">
        <v>108</v>
      </c>
      <c r="C1" s="290"/>
    </row>
    <row r="2" spans="1:8" ht="13.5" thickBot="1" x14ac:dyDescent="0.25">
      <c r="A2" s="292"/>
      <c r="B2" s="293"/>
    </row>
    <row r="3" spans="1:8" x14ac:dyDescent="0.2">
      <c r="B3" s="294"/>
      <c r="C3" s="295" t="s">
        <v>200</v>
      </c>
      <c r="D3" s="296"/>
      <c r="E3" s="296"/>
      <c r="F3" s="296"/>
    </row>
    <row r="4" spans="1:8" x14ac:dyDescent="0.2">
      <c r="B4" s="297" t="s">
        <v>83</v>
      </c>
      <c r="C4" s="298">
        <f>C16</f>
        <v>0</v>
      </c>
      <c r="D4" s="296"/>
      <c r="E4" s="296"/>
      <c r="F4" s="296"/>
    </row>
    <row r="5" spans="1:8" x14ac:dyDescent="0.2">
      <c r="B5" s="297" t="s">
        <v>82</v>
      </c>
      <c r="C5" s="299">
        <f>D16</f>
        <v>0</v>
      </c>
      <c r="D5" s="296"/>
      <c r="E5" s="296"/>
      <c r="F5" s="296"/>
    </row>
    <row r="6" spans="1:8" x14ac:dyDescent="0.2">
      <c r="B6" s="297" t="s">
        <v>95</v>
      </c>
      <c r="C6" s="299">
        <f>E16</f>
        <v>0</v>
      </c>
      <c r="D6" s="296"/>
      <c r="E6" s="296"/>
      <c r="F6" s="296"/>
    </row>
    <row r="7" spans="1:8" ht="13.5" thickBot="1" x14ac:dyDescent="0.25">
      <c r="B7" s="300" t="s">
        <v>20</v>
      </c>
      <c r="C7" s="301">
        <f>SUM(C4:C6)</f>
        <v>0</v>
      </c>
    </row>
    <row r="8" spans="1:8" x14ac:dyDescent="0.2">
      <c r="G8" s="291"/>
    </row>
    <row r="9" spans="1:8" ht="13.5" thickBot="1" x14ac:dyDescent="0.25"/>
    <row r="10" spans="1:8" ht="27" thickBot="1" x14ac:dyDescent="0.3">
      <c r="A10" s="198" t="s">
        <v>299</v>
      </c>
      <c r="C10" s="302" t="s">
        <v>83</v>
      </c>
      <c r="D10" s="302" t="s">
        <v>82</v>
      </c>
      <c r="E10" s="302" t="s">
        <v>95</v>
      </c>
      <c r="F10" s="302" t="s">
        <v>180</v>
      </c>
      <c r="G10" s="194" t="s">
        <v>550</v>
      </c>
      <c r="H10" s="303" t="s">
        <v>551</v>
      </c>
    </row>
    <row r="11" spans="1:8" ht="14.25" x14ac:dyDescent="0.25">
      <c r="B11" s="294" t="s">
        <v>520</v>
      </c>
      <c r="C11" s="285">
        <v>0</v>
      </c>
      <c r="D11" s="285">
        <v>0</v>
      </c>
      <c r="E11" s="286">
        <v>0</v>
      </c>
      <c r="F11" s="304">
        <f>C11+D11+E11</f>
        <v>0</v>
      </c>
      <c r="G11" s="292">
        <f>Investimenti!E11</f>
        <v>25</v>
      </c>
      <c r="H11" s="305">
        <f t="shared" ref="H11:H13" si="0">F11/G11</f>
        <v>0</v>
      </c>
    </row>
    <row r="12" spans="1:8" ht="14.25" x14ac:dyDescent="0.25">
      <c r="B12" s="297" t="s">
        <v>521</v>
      </c>
      <c r="C12" s="287">
        <v>0</v>
      </c>
      <c r="D12" s="287">
        <v>0</v>
      </c>
      <c r="E12" s="288">
        <v>0</v>
      </c>
      <c r="F12" s="306">
        <f>C12+D12+E12</f>
        <v>0</v>
      </c>
      <c r="G12" s="292">
        <f>Investimenti!E13</f>
        <v>25</v>
      </c>
      <c r="H12" s="305">
        <f t="shared" si="0"/>
        <v>0</v>
      </c>
    </row>
    <row r="13" spans="1:8" ht="14.25" x14ac:dyDescent="0.25">
      <c r="B13" s="297" t="s">
        <v>522</v>
      </c>
      <c r="C13" s="287">
        <v>0</v>
      </c>
      <c r="D13" s="287">
        <v>0</v>
      </c>
      <c r="E13" s="288">
        <v>0</v>
      </c>
      <c r="F13" s="306">
        <f>C13+D13+E13</f>
        <v>0</v>
      </c>
      <c r="G13" s="292">
        <f>Investimenti!E28</f>
        <v>50</v>
      </c>
      <c r="H13" s="305">
        <f t="shared" si="0"/>
        <v>0</v>
      </c>
    </row>
    <row r="14" spans="1:8" ht="14.25" x14ac:dyDescent="0.25">
      <c r="B14" s="297" t="s">
        <v>523</v>
      </c>
      <c r="C14" s="287">
        <v>0</v>
      </c>
      <c r="D14" s="287">
        <v>0</v>
      </c>
      <c r="E14" s="288">
        <v>0</v>
      </c>
      <c r="F14" s="306">
        <f>C14+D14+E14</f>
        <v>0</v>
      </c>
      <c r="G14" s="292">
        <f>Investimenti!E31</f>
        <v>25</v>
      </c>
      <c r="H14" s="305">
        <f>F14/G14</f>
        <v>0</v>
      </c>
    </row>
    <row r="15" spans="1:8" ht="15" thickBot="1" x14ac:dyDescent="0.3">
      <c r="B15" s="297" t="s">
        <v>147</v>
      </c>
      <c r="C15" s="287">
        <v>0</v>
      </c>
      <c r="D15" s="287">
        <v>0</v>
      </c>
      <c r="E15" s="288">
        <v>0</v>
      </c>
      <c r="F15" s="306">
        <f>C15+D15+E15</f>
        <v>0</v>
      </c>
      <c r="G15" s="292">
        <v>30</v>
      </c>
      <c r="H15" s="305">
        <f>F15/G15</f>
        <v>0</v>
      </c>
    </row>
    <row r="16" spans="1:8" ht="15" thickBot="1" x14ac:dyDescent="0.3">
      <c r="B16" s="307" t="s">
        <v>107</v>
      </c>
      <c r="C16" s="308">
        <f>SUM(C11:C15)</f>
        <v>0</v>
      </c>
      <c r="D16" s="308">
        <f>SUM(D11:D15)</f>
        <v>0</v>
      </c>
      <c r="E16" s="309">
        <f>SUM(E11:E15)</f>
        <v>0</v>
      </c>
      <c r="F16" s="310">
        <f>SUM(F11:F15)</f>
        <v>0</v>
      </c>
      <c r="H16" s="311">
        <f>SUM(H11:H15)</f>
        <v>0</v>
      </c>
    </row>
    <row r="18" spans="2:3" ht="13.5" thickBot="1" x14ac:dyDescent="0.25">
      <c r="B18" s="196" t="s">
        <v>146</v>
      </c>
    </row>
    <row r="19" spans="2:3" ht="14.25" x14ac:dyDescent="0.25">
      <c r="B19" s="294" t="str">
        <f>B11</f>
        <v>Incentivi per investimento centrale</v>
      </c>
      <c r="C19" s="312" t="e">
        <f>(C11+D11+E11)/$C$16</f>
        <v>#DIV/0!</v>
      </c>
    </row>
    <row r="20" spans="2:3" ht="14.25" x14ac:dyDescent="0.25">
      <c r="B20" s="297" t="str">
        <f>B12</f>
        <v>Incentivi per investimento elettrofiltro</v>
      </c>
      <c r="C20" s="313" t="e">
        <f>(C12+D12+E12)/$C$16</f>
        <v>#DIV/0!</v>
      </c>
    </row>
    <row r="21" spans="2:3" ht="14.25" x14ac:dyDescent="0.25">
      <c r="B21" s="297" t="str">
        <f>B13</f>
        <v>Incentivi per investimento rete</v>
      </c>
      <c r="C21" s="313" t="e">
        <f>(C13+D13+E13)/$C$16</f>
        <v>#DIV/0!</v>
      </c>
    </row>
    <row r="22" spans="2:3" ht="14.25" x14ac:dyDescent="0.25">
      <c r="B22" s="297" t="str">
        <f>B14</f>
        <v>Incentivi per allacciamento utenti</v>
      </c>
      <c r="C22" s="313" t="e">
        <f>(C14+D14+E14)/$C$16</f>
        <v>#DIV/0!</v>
      </c>
    </row>
    <row r="23" spans="2:3" ht="14.25" x14ac:dyDescent="0.25">
      <c r="B23" s="297" t="str">
        <f>B15</f>
        <v>Altro</v>
      </c>
      <c r="C23" s="313" t="e">
        <f>(C15+D15+E15)/$C$16</f>
        <v>#DIV/0!</v>
      </c>
    </row>
    <row r="24" spans="2:3" ht="15" thickBot="1" x14ac:dyDescent="0.3">
      <c r="B24" s="307" t="s">
        <v>107</v>
      </c>
      <c r="C24" s="314" t="e">
        <f>SUM(C19:C23)</f>
        <v>#DIV/0!</v>
      </c>
    </row>
  </sheetData>
  <sheetProtection password="C632" sheet="1" objects="1" scenarios="1"/>
  <phoneticPr fontId="34" type="noConversion"/>
  <hyperlinks>
    <hyperlink ref="A10" location="info!A79" display="S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5" sqref="D5"/>
    </sheetView>
  </sheetViews>
  <sheetFormatPr defaultRowHeight="12.75" x14ac:dyDescent="0.2"/>
  <cols>
    <col min="1" max="1" width="5.140625" style="9" customWidth="1"/>
    <col min="2" max="2" width="20.5703125" style="9" bestFit="1" customWidth="1"/>
    <col min="3" max="3" width="10" style="9" customWidth="1"/>
    <col min="4" max="4" width="12.85546875" style="9" bestFit="1" customWidth="1"/>
    <col min="5" max="5" width="12.42578125" style="9" bestFit="1" customWidth="1"/>
    <col min="6" max="7" width="9.140625" style="9"/>
    <col min="8" max="8" width="24.140625" style="9" bestFit="1" customWidth="1"/>
    <col min="9" max="16384" width="9.140625" style="9"/>
  </cols>
  <sheetData>
    <row r="1" spans="1:8" ht="16.5" thickBot="1" x14ac:dyDescent="0.3">
      <c r="A1" s="120"/>
      <c r="B1" s="119" t="s">
        <v>84</v>
      </c>
      <c r="C1" s="120"/>
      <c r="D1" s="118"/>
    </row>
    <row r="3" spans="1:8" ht="15.75" thickBot="1" x14ac:dyDescent="0.3">
      <c r="A3" s="116" t="s">
        <v>302</v>
      </c>
      <c r="C3" s="887" t="s">
        <v>397</v>
      </c>
      <c r="D3" s="888"/>
      <c r="E3" s="889"/>
      <c r="F3" s="22"/>
      <c r="H3" s="11" t="s">
        <v>379</v>
      </c>
    </row>
    <row r="4" spans="1:8" ht="26.25" thickBot="1" x14ac:dyDescent="0.25">
      <c r="B4" s="19"/>
      <c r="C4" s="24" t="s">
        <v>86</v>
      </c>
      <c r="D4" s="23" t="s">
        <v>75</v>
      </c>
      <c r="E4" s="23" t="s">
        <v>77</v>
      </c>
      <c r="F4" s="86" t="s">
        <v>85</v>
      </c>
      <c r="H4" s="18" t="s">
        <v>1</v>
      </c>
    </row>
    <row r="5" spans="1:8" x14ac:dyDescent="0.2">
      <c r="B5" s="12" t="s">
        <v>79</v>
      </c>
      <c r="C5" s="620">
        <v>0</v>
      </c>
      <c r="D5" s="620">
        <v>0</v>
      </c>
      <c r="E5" s="620">
        <v>0</v>
      </c>
      <c r="F5" s="155">
        <f>SUM(C5:E5)</f>
        <v>0</v>
      </c>
      <c r="H5" s="622">
        <v>75000</v>
      </c>
    </row>
    <row r="6" spans="1:8" x14ac:dyDescent="0.2">
      <c r="B6" s="12" t="s">
        <v>80</v>
      </c>
      <c r="C6" s="620">
        <v>0</v>
      </c>
      <c r="D6" s="620">
        <v>0</v>
      </c>
      <c r="E6" s="620">
        <v>0</v>
      </c>
      <c r="F6" s="155">
        <f>SUM(C6:E6)</f>
        <v>0</v>
      </c>
      <c r="H6" s="623">
        <v>85000</v>
      </c>
    </row>
    <row r="7" spans="1:8" x14ac:dyDescent="0.2">
      <c r="B7" s="12" t="s">
        <v>81</v>
      </c>
      <c r="C7" s="620">
        <v>0</v>
      </c>
      <c r="D7" s="620">
        <v>0</v>
      </c>
      <c r="E7" s="620">
        <v>0</v>
      </c>
      <c r="F7" s="155">
        <f>SUM(C7:E7)</f>
        <v>0</v>
      </c>
      <c r="H7" s="623">
        <v>60000</v>
      </c>
    </row>
    <row r="8" spans="1:8" ht="13.5" thickBot="1" x14ac:dyDescent="0.25">
      <c r="B8" s="20" t="s">
        <v>96</v>
      </c>
      <c r="C8" s="621">
        <v>0</v>
      </c>
      <c r="D8" s="621">
        <v>0</v>
      </c>
      <c r="E8" s="621">
        <v>0</v>
      </c>
      <c r="F8" s="156">
        <f>SUM(C8:E8)</f>
        <v>0</v>
      </c>
      <c r="H8" s="624">
        <v>0</v>
      </c>
    </row>
    <row r="9" spans="1:8" ht="13.5" thickBot="1" x14ac:dyDescent="0.25">
      <c r="F9" s="7"/>
    </row>
    <row r="10" spans="1:8" ht="13.5" thickBot="1" x14ac:dyDescent="0.25">
      <c r="B10" s="25" t="s">
        <v>84</v>
      </c>
      <c r="C10" s="26">
        <f>C5*H5+C6*H6+C7*H7+C8*H8</f>
        <v>0</v>
      </c>
      <c r="D10" s="26">
        <f>D5*H5+D6*H6+D7*H7+D8*H8</f>
        <v>0</v>
      </c>
      <c r="E10" s="26">
        <f>E5*H5+E6*H6+E7*H7+E8*H8</f>
        <v>0</v>
      </c>
      <c r="F10" s="87">
        <f>SUM(C10:E10)</f>
        <v>0</v>
      </c>
    </row>
    <row r="12" spans="1:8" ht="13.5" thickBot="1" x14ac:dyDescent="0.25"/>
    <row r="13" spans="1:8" ht="15" customHeight="1" x14ac:dyDescent="0.2">
      <c r="B13" s="890" t="s">
        <v>113</v>
      </c>
      <c r="C13" s="891"/>
    </row>
    <row r="14" spans="1:8" ht="13.5" thickBot="1" x14ac:dyDescent="0.25">
      <c r="B14" s="35">
        <f>SUM(C10:E10)</f>
        <v>0</v>
      </c>
      <c r="C14" s="34" t="s">
        <v>1</v>
      </c>
    </row>
  </sheetData>
  <sheetProtection password="C632" sheet="1" objects="1" scenarios="1"/>
  <mergeCells count="2">
    <mergeCell ref="C3:E3"/>
    <mergeCell ref="B13:C13"/>
  </mergeCells>
  <phoneticPr fontId="34" type="noConversion"/>
  <hyperlinks>
    <hyperlink ref="A3" location="info!A84" display="P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
  <sheetViews>
    <sheetView zoomScale="85" zoomScaleNormal="85" workbookViewId="0">
      <selection activeCell="A4" sqref="A4"/>
    </sheetView>
  </sheetViews>
  <sheetFormatPr defaultRowHeight="12.75" x14ac:dyDescent="0.2"/>
  <cols>
    <col min="1" max="1" width="5.42578125" style="196" customWidth="1"/>
    <col min="2" max="2" width="15.7109375" style="196" customWidth="1"/>
    <col min="3" max="3" width="55.85546875" style="196" customWidth="1"/>
    <col min="4" max="4" width="12.5703125" style="195" bestFit="1" customWidth="1"/>
    <col min="5" max="5" width="12.5703125" style="195" customWidth="1"/>
    <col min="6" max="6" width="9.140625" style="196"/>
    <col min="7" max="7" width="24.5703125" style="196" bestFit="1" customWidth="1"/>
    <col min="8" max="8" width="15" style="196" customWidth="1"/>
    <col min="9" max="17" width="9.140625" style="196"/>
    <col min="18" max="18" width="9.140625" style="196" customWidth="1"/>
    <col min="19" max="16384" width="9.140625" style="196"/>
  </cols>
  <sheetData>
    <row r="1" spans="1:20" ht="16.5" thickBot="1" x14ac:dyDescent="0.3">
      <c r="A1" s="289"/>
      <c r="B1" s="289" t="s">
        <v>114</v>
      </c>
      <c r="C1" s="289"/>
      <c r="D1" s="290"/>
    </row>
    <row r="3" spans="1:20" ht="13.5" thickBot="1" x14ac:dyDescent="0.25">
      <c r="D3" s="625" t="s">
        <v>1</v>
      </c>
      <c r="E3" s="626"/>
      <c r="I3" s="194"/>
    </row>
    <row r="4" spans="1:20" ht="18.75" customHeight="1" thickBot="1" x14ac:dyDescent="0.3">
      <c r="A4" s="198" t="s">
        <v>303</v>
      </c>
      <c r="B4" s="627" t="s">
        <v>206</v>
      </c>
      <c r="C4" s="628"/>
      <c r="D4" s="629" t="e">
        <f>D5+D21</f>
        <v>#DIV/0!</v>
      </c>
      <c r="E4" s="630"/>
      <c r="G4" s="196" t="s">
        <v>380</v>
      </c>
    </row>
    <row r="5" spans="1:20" ht="20.25" customHeight="1" thickBot="1" x14ac:dyDescent="0.25">
      <c r="B5" s="631"/>
      <c r="C5" s="632" t="str">
        <f>Investimenti!B7</f>
        <v>CENTRALE</v>
      </c>
      <c r="D5" s="633" t="e">
        <f>D6+D13+D20</f>
        <v>#DIV/0!</v>
      </c>
      <c r="E5" s="630"/>
      <c r="G5" s="294" t="s">
        <v>142</v>
      </c>
      <c r="H5" s="634" t="e">
        <f>D33/D35</f>
        <v>#DIV/0!</v>
      </c>
    </row>
    <row r="6" spans="1:20" x14ac:dyDescent="0.2">
      <c r="B6" s="297"/>
      <c r="C6" s="635" t="s">
        <v>149</v>
      </c>
      <c r="D6" s="636" t="e">
        <f>SUM(D7:D11)</f>
        <v>#DIV/0!</v>
      </c>
      <c r="E6" s="630"/>
      <c r="G6" s="297" t="s">
        <v>143</v>
      </c>
      <c r="H6" s="637" t="e">
        <f>D5/D35</f>
        <v>#DIV/0!</v>
      </c>
      <c r="Q6" s="296"/>
      <c r="R6" s="296"/>
      <c r="S6" s="296"/>
      <c r="T6" s="296"/>
    </row>
    <row r="7" spans="1:20" x14ac:dyDescent="0.2">
      <c r="B7" s="297"/>
      <c r="C7" s="411" t="s">
        <v>421</v>
      </c>
      <c r="D7" s="442">
        <f>Investimenti!F8</f>
        <v>0</v>
      </c>
      <c r="E7" s="638"/>
      <c r="G7" s="297" t="s">
        <v>144</v>
      </c>
      <c r="H7" s="637" t="e">
        <f>D21/D35</f>
        <v>#DIV/0!</v>
      </c>
      <c r="Q7" s="296"/>
      <c r="R7" s="296"/>
      <c r="S7" s="296"/>
      <c r="T7" s="296"/>
    </row>
    <row r="8" spans="1:20" x14ac:dyDescent="0.2">
      <c r="B8" s="297"/>
      <c r="C8" s="411" t="s">
        <v>423</v>
      </c>
      <c r="D8" s="442" t="e">
        <f>Investimenti!G8+Investimenti!H8</f>
        <v>#DIV/0!</v>
      </c>
      <c r="E8" s="638"/>
      <c r="G8" s="297" t="s">
        <v>27</v>
      </c>
      <c r="H8" s="637" t="e">
        <f>D29/D35</f>
        <v>#DIV/0!</v>
      </c>
      <c r="Q8" s="296"/>
      <c r="R8" s="296"/>
      <c r="S8" s="296"/>
      <c r="T8" s="296"/>
    </row>
    <row r="9" spans="1:20" ht="13.5" thickBot="1" x14ac:dyDescent="0.25">
      <c r="B9" s="297"/>
      <c r="C9" s="639" t="s">
        <v>3</v>
      </c>
      <c r="D9" s="640">
        <f>Personale!C10</f>
        <v>0</v>
      </c>
      <c r="E9" s="638"/>
      <c r="G9" s="641" t="s">
        <v>180</v>
      </c>
      <c r="H9" s="642" t="e">
        <f>SUM(H5:H8)</f>
        <v>#DIV/0!</v>
      </c>
      <c r="Q9" s="296"/>
      <c r="R9" s="296"/>
      <c r="S9" s="643"/>
      <c r="T9" s="296"/>
    </row>
    <row r="10" spans="1:20" x14ac:dyDescent="0.2">
      <c r="B10" s="297"/>
      <c r="C10" s="639" t="s">
        <v>4</v>
      </c>
      <c r="D10" s="442">
        <f>Investimenti!J7</f>
        <v>0</v>
      </c>
      <c r="E10" s="638"/>
      <c r="G10" s="296"/>
      <c r="H10" s="644"/>
      <c r="Q10" s="296"/>
      <c r="R10" s="291"/>
      <c r="S10" s="643"/>
      <c r="T10" s="296"/>
    </row>
    <row r="11" spans="1:20" x14ac:dyDescent="0.2">
      <c r="B11" s="297"/>
      <c r="C11" s="639" t="s">
        <v>574</v>
      </c>
      <c r="D11" s="228">
        <v>0</v>
      </c>
      <c r="E11" s="638"/>
      <c r="G11" s="296"/>
      <c r="H11" s="644"/>
      <c r="Q11" s="296"/>
      <c r="R11" s="291"/>
      <c r="S11" s="643"/>
      <c r="T11" s="296"/>
    </row>
    <row r="12" spans="1:20" ht="13.5" thickBot="1" x14ac:dyDescent="0.25">
      <c r="B12" s="297"/>
      <c r="C12" s="411"/>
      <c r="D12" s="645"/>
      <c r="E12" s="646"/>
      <c r="G12" s="296"/>
      <c r="H12" s="644"/>
      <c r="Q12" s="296"/>
      <c r="R12" s="291"/>
      <c r="S12" s="643"/>
      <c r="T12" s="296"/>
    </row>
    <row r="13" spans="1:20" x14ac:dyDescent="0.2">
      <c r="B13" s="647"/>
      <c r="C13" s="648" t="s">
        <v>387</v>
      </c>
      <c r="D13" s="649" t="e">
        <f>SUM(D14:D18)</f>
        <v>#DIV/0!</v>
      </c>
      <c r="E13" s="650"/>
      <c r="G13" s="651"/>
      <c r="H13" s="652"/>
      <c r="Q13" s="296"/>
      <c r="R13" s="291"/>
      <c r="S13" s="643"/>
      <c r="T13" s="296"/>
    </row>
    <row r="14" spans="1:20" x14ac:dyDescent="0.2">
      <c r="B14" s="297"/>
      <c r="C14" s="411" t="s">
        <v>422</v>
      </c>
      <c r="D14" s="653">
        <f>Investimenti!F17</f>
        <v>0</v>
      </c>
      <c r="E14" s="650"/>
      <c r="G14" s="654"/>
      <c r="H14" s="655"/>
      <c r="Q14" s="296"/>
      <c r="R14" s="296"/>
      <c r="S14" s="296"/>
      <c r="T14" s="296"/>
    </row>
    <row r="15" spans="1:20" x14ac:dyDescent="0.2">
      <c r="B15" s="297"/>
      <c r="C15" s="411" t="s">
        <v>423</v>
      </c>
      <c r="D15" s="653" t="e">
        <f>Investimenti!G17+Investimenti!H17</f>
        <v>#DIV/0!</v>
      </c>
      <c r="E15" s="650"/>
      <c r="G15" s="656"/>
      <c r="H15" s="657"/>
      <c r="Q15" s="296"/>
      <c r="R15" s="296"/>
      <c r="S15" s="296"/>
      <c r="T15" s="296"/>
    </row>
    <row r="16" spans="1:20" x14ac:dyDescent="0.2">
      <c r="B16" s="297"/>
      <c r="C16" s="639" t="s">
        <v>3</v>
      </c>
      <c r="D16" s="187">
        <f>Personale!E10</f>
        <v>0</v>
      </c>
      <c r="E16" s="650"/>
      <c r="G16" s="656"/>
      <c r="H16" s="657"/>
      <c r="Q16" s="296"/>
      <c r="R16" s="296"/>
      <c r="S16" s="296"/>
      <c r="T16" s="296"/>
    </row>
    <row r="17" spans="1:20" x14ac:dyDescent="0.2">
      <c r="B17" s="370"/>
      <c r="C17" s="658" t="s">
        <v>4</v>
      </c>
      <c r="D17" s="659">
        <f>Investimenti!J17</f>
        <v>0</v>
      </c>
      <c r="E17" s="650"/>
      <c r="G17" s="656"/>
      <c r="H17" s="657"/>
      <c r="Q17" s="296"/>
      <c r="R17" s="296"/>
      <c r="S17" s="296"/>
      <c r="T17" s="296"/>
    </row>
    <row r="18" spans="1:20" x14ac:dyDescent="0.2">
      <c r="B18" s="297"/>
      <c r="C18" s="639" t="s">
        <v>574</v>
      </c>
      <c r="D18" s="132">
        <v>0</v>
      </c>
      <c r="E18" s="650"/>
      <c r="G18" s="656"/>
      <c r="H18" s="657"/>
      <c r="Q18" s="296"/>
      <c r="R18" s="296"/>
      <c r="S18" s="296"/>
      <c r="T18" s="296"/>
    </row>
    <row r="19" spans="1:20" ht="13.5" thickBot="1" x14ac:dyDescent="0.25">
      <c r="B19" s="297"/>
      <c r="C19" s="660"/>
      <c r="D19" s="659"/>
      <c r="E19" s="646"/>
      <c r="G19" s="656"/>
      <c r="H19" s="657"/>
      <c r="Q19" s="296"/>
      <c r="R19" s="296"/>
      <c r="S19" s="296"/>
      <c r="T19" s="296"/>
    </row>
    <row r="20" spans="1:20" ht="13.5" thickBot="1" x14ac:dyDescent="0.25">
      <c r="B20" s="404"/>
      <c r="C20" s="661" t="s">
        <v>207</v>
      </c>
      <c r="D20" s="662">
        <f>Investimenti!F41</f>
        <v>0</v>
      </c>
      <c r="E20" s="650"/>
      <c r="G20" s="663" t="s">
        <v>149</v>
      </c>
      <c r="H20" s="636"/>
      <c r="Q20" s="296"/>
      <c r="R20" s="296"/>
      <c r="S20" s="296"/>
      <c r="T20" s="296"/>
    </row>
    <row r="21" spans="1:20" ht="15.75" x14ac:dyDescent="0.25">
      <c r="A21" s="198" t="s">
        <v>304</v>
      </c>
      <c r="B21" s="664"/>
      <c r="C21" s="665" t="s">
        <v>148</v>
      </c>
      <c r="D21" s="649" t="e">
        <f>SUM(D22:D27)</f>
        <v>#DIV/0!</v>
      </c>
      <c r="E21" s="650"/>
      <c r="G21" s="297" t="s">
        <v>421</v>
      </c>
      <c r="H21" s="637" t="e">
        <f>D7/$D$6</f>
        <v>#DIV/0!</v>
      </c>
      <c r="Q21" s="296"/>
      <c r="R21" s="296"/>
      <c r="S21" s="296"/>
      <c r="T21" s="296"/>
    </row>
    <row r="22" spans="1:20" x14ac:dyDescent="0.2">
      <c r="B22" s="297"/>
      <c r="C22" s="411" t="s">
        <v>422</v>
      </c>
      <c r="D22" s="653">
        <f>Investimenti!F24</f>
        <v>0</v>
      </c>
      <c r="E22" s="650"/>
      <c r="G22" s="297" t="s">
        <v>423</v>
      </c>
      <c r="H22" s="637" t="e">
        <f t="shared" ref="H22:H25" si="0">D8/$D$6</f>
        <v>#DIV/0!</v>
      </c>
      <c r="Q22" s="296"/>
      <c r="R22" s="291"/>
      <c r="S22" s="646"/>
      <c r="T22" s="296"/>
    </row>
    <row r="23" spans="1:20" x14ac:dyDescent="0.2">
      <c r="B23" s="297"/>
      <c r="C23" s="411" t="s">
        <v>423</v>
      </c>
      <c r="D23" s="653" t="e">
        <f>Investimenti!G24+Investimenti!H24</f>
        <v>#DIV/0!</v>
      </c>
      <c r="E23" s="650"/>
      <c r="G23" s="337" t="s">
        <v>3</v>
      </c>
      <c r="H23" s="637" t="e">
        <f t="shared" si="0"/>
        <v>#DIV/0!</v>
      </c>
      <c r="Q23" s="296"/>
      <c r="R23" s="291"/>
      <c r="S23" s="666"/>
      <c r="T23" s="296"/>
    </row>
    <row r="24" spans="1:20" x14ac:dyDescent="0.2">
      <c r="B24" s="297"/>
      <c r="C24" s="411" t="s">
        <v>3</v>
      </c>
      <c r="D24" s="653">
        <f>Personale!D10</f>
        <v>0</v>
      </c>
      <c r="E24" s="650"/>
      <c r="G24" s="337" t="s">
        <v>4</v>
      </c>
      <c r="H24" s="637" t="e">
        <f t="shared" si="0"/>
        <v>#DIV/0!</v>
      </c>
      <c r="Q24" s="296"/>
      <c r="R24" s="291"/>
      <c r="S24" s="666"/>
      <c r="T24" s="296"/>
    </row>
    <row r="25" spans="1:20" ht="13.5" thickBot="1" x14ac:dyDescent="0.25">
      <c r="B25" s="297"/>
      <c r="C25" s="411" t="s">
        <v>4</v>
      </c>
      <c r="D25" s="653">
        <f>Investimenti!J24</f>
        <v>0</v>
      </c>
      <c r="E25" s="650"/>
      <c r="G25" s="346" t="s">
        <v>152</v>
      </c>
      <c r="H25" s="667" t="e">
        <f t="shared" si="0"/>
        <v>#DIV/0!</v>
      </c>
      <c r="Q25" s="296"/>
      <c r="R25" s="291"/>
      <c r="S25" s="666"/>
      <c r="T25" s="296"/>
    </row>
    <row r="26" spans="1:20" x14ac:dyDescent="0.2">
      <c r="B26" s="297"/>
      <c r="C26" s="639" t="s">
        <v>574</v>
      </c>
      <c r="D26" s="132">
        <v>0</v>
      </c>
      <c r="E26" s="650"/>
      <c r="G26" s="296"/>
      <c r="H26" s="296"/>
      <c r="Q26" s="296"/>
      <c r="R26" s="291"/>
      <c r="S26" s="666"/>
      <c r="T26" s="296"/>
    </row>
    <row r="27" spans="1:20" ht="13.5" thickBot="1" x14ac:dyDescent="0.25">
      <c r="B27" s="351"/>
      <c r="C27" s="668" t="s">
        <v>208</v>
      </c>
      <c r="D27" s="148">
        <f>Investimenti!F42</f>
        <v>0</v>
      </c>
      <c r="E27" s="650"/>
      <c r="G27" s="296"/>
      <c r="H27" s="296"/>
      <c r="Q27" s="296"/>
      <c r="R27" s="291"/>
      <c r="S27" s="666"/>
      <c r="T27" s="296"/>
    </row>
    <row r="28" spans="1:20" ht="13.5" thickBot="1" x14ac:dyDescent="0.25">
      <c r="B28" s="296"/>
      <c r="C28" s="291"/>
      <c r="D28" s="650"/>
      <c r="E28" s="650"/>
      <c r="Q28" s="296"/>
      <c r="R28" s="291"/>
      <c r="S28" s="666"/>
      <c r="T28" s="296"/>
    </row>
    <row r="29" spans="1:20" ht="15.75" x14ac:dyDescent="0.25">
      <c r="A29" s="198" t="s">
        <v>305</v>
      </c>
      <c r="B29" s="669" t="s">
        <v>27</v>
      </c>
      <c r="C29" s="670"/>
      <c r="D29" s="671">
        <f>SUM(D30:D31)</f>
        <v>0</v>
      </c>
      <c r="E29" s="650"/>
      <c r="Q29" s="296"/>
      <c r="R29" s="291"/>
      <c r="S29" s="666"/>
      <c r="T29" s="296"/>
    </row>
    <row r="30" spans="1:20" x14ac:dyDescent="0.2">
      <c r="B30" s="297"/>
      <c r="C30" s="411" t="s">
        <v>41</v>
      </c>
      <c r="D30" s="653">
        <f>Investimenti!F43</f>
        <v>0</v>
      </c>
      <c r="E30" s="646"/>
      <c r="Q30" s="296"/>
      <c r="R30" s="291"/>
      <c r="S30" s="666"/>
      <c r="T30" s="296"/>
    </row>
    <row r="31" spans="1:20" ht="13.5" thickBot="1" x14ac:dyDescent="0.25">
      <c r="B31" s="351"/>
      <c r="C31" s="416" t="s">
        <v>94</v>
      </c>
      <c r="D31" s="672">
        <f>Investimenti!F44</f>
        <v>0</v>
      </c>
      <c r="E31" s="650"/>
      <c r="Q31" s="296"/>
      <c r="R31" s="291"/>
      <c r="S31" s="666"/>
      <c r="T31" s="296"/>
    </row>
    <row r="32" spans="1:20" ht="13.5" thickBot="1" x14ac:dyDescent="0.25">
      <c r="B32" s="296"/>
      <c r="C32" s="291"/>
      <c r="D32" s="673"/>
      <c r="I32" s="291"/>
    </row>
    <row r="33" spans="1:20" ht="16.5" thickBot="1" x14ac:dyDescent="0.3">
      <c r="A33" s="198" t="s">
        <v>306</v>
      </c>
      <c r="B33" s="674" t="s">
        <v>43</v>
      </c>
      <c r="C33" s="675"/>
      <c r="D33" s="676">
        <f>'Vettori energetici'!L28</f>
        <v>0</v>
      </c>
      <c r="I33" s="291"/>
    </row>
    <row r="34" spans="1:20" x14ac:dyDescent="0.2">
      <c r="B34" s="677"/>
      <c r="C34" s="296"/>
      <c r="D34" s="673"/>
      <c r="I34" s="291"/>
    </row>
    <row r="35" spans="1:20" ht="15.75" x14ac:dyDescent="0.25">
      <c r="B35" s="678" t="s">
        <v>42</v>
      </c>
      <c r="C35" s="679"/>
      <c r="D35" s="680" t="e">
        <f>D4+D33+D29</f>
        <v>#DIV/0!</v>
      </c>
      <c r="E35" s="681" t="s">
        <v>1</v>
      </c>
      <c r="I35" s="291"/>
    </row>
    <row r="36" spans="1:20" ht="13.5" thickBot="1" x14ac:dyDescent="0.25">
      <c r="I36" s="291"/>
      <c r="R36" s="291"/>
      <c r="S36" s="666"/>
      <c r="T36" s="296"/>
    </row>
    <row r="37" spans="1:20" ht="16.5" thickBot="1" x14ac:dyDescent="0.3">
      <c r="A37" s="198" t="s">
        <v>307</v>
      </c>
      <c r="B37" s="682" t="s">
        <v>585</v>
      </c>
      <c r="C37" s="683"/>
      <c r="D37" s="684" t="e">
        <f>100*D35/' Dati tecnici e stima domanda'!D16</f>
        <v>#DIV/0!</v>
      </c>
      <c r="E37" s="685" t="s">
        <v>181</v>
      </c>
      <c r="G37" s="663" t="s">
        <v>424</v>
      </c>
      <c r="H37" s="636"/>
      <c r="I37" s="291"/>
      <c r="R37" s="291"/>
      <c r="S37" s="666"/>
      <c r="T37" s="296"/>
    </row>
    <row r="38" spans="1:20" x14ac:dyDescent="0.2">
      <c r="B38" s="291"/>
      <c r="C38" s="291"/>
      <c r="D38" s="686"/>
      <c r="E38" s="686"/>
      <c r="G38" s="297" t="s">
        <v>421</v>
      </c>
      <c r="H38" s="637" t="e">
        <f>D22/$D$21</f>
        <v>#DIV/0!</v>
      </c>
      <c r="I38" s="291"/>
      <c r="R38" s="291"/>
      <c r="S38" s="666"/>
      <c r="T38" s="296"/>
    </row>
    <row r="39" spans="1:20" x14ac:dyDescent="0.2">
      <c r="B39" s="687" t="s">
        <v>87</v>
      </c>
      <c r="C39" s="687"/>
      <c r="D39" s="688">
        <f>Incentivi!H16</f>
        <v>0</v>
      </c>
      <c r="E39" s="689" t="s">
        <v>1</v>
      </c>
      <c r="G39" s="297" t="s">
        <v>423</v>
      </c>
      <c r="H39" s="637" t="e">
        <f>D23/$D$21</f>
        <v>#DIV/0!</v>
      </c>
      <c r="R39" s="296"/>
      <c r="S39" s="690"/>
      <c r="T39" s="296"/>
    </row>
    <row r="40" spans="1:20" ht="13.5" thickBot="1" x14ac:dyDescent="0.25">
      <c r="G40" s="337" t="s">
        <v>3</v>
      </c>
      <c r="H40" s="637" t="e">
        <f>D24/$D$21</f>
        <v>#DIV/0!</v>
      </c>
    </row>
    <row r="41" spans="1:20" ht="16.5" thickBot="1" x14ac:dyDescent="0.3">
      <c r="A41" s="198" t="s">
        <v>308</v>
      </c>
      <c r="B41" s="892" t="s">
        <v>586</v>
      </c>
      <c r="C41" s="893"/>
      <c r="D41" s="684" t="e">
        <f>100*(D35-D39)/' Dati tecnici e stima domanda'!D16</f>
        <v>#DIV/0!</v>
      </c>
      <c r="E41" s="691" t="s">
        <v>181</v>
      </c>
      <c r="G41" s="337" t="s">
        <v>4</v>
      </c>
      <c r="H41" s="637" t="e">
        <f>D25/$D$21</f>
        <v>#DIV/0!</v>
      </c>
    </row>
    <row r="42" spans="1:20" ht="13.5" thickBot="1" x14ac:dyDescent="0.25">
      <c r="G42" s="346" t="s">
        <v>152</v>
      </c>
      <c r="H42" s="667" t="e">
        <f>D26/$D$21</f>
        <v>#DIV/0!</v>
      </c>
    </row>
    <row r="43" spans="1:20" x14ac:dyDescent="0.2">
      <c r="C43" s="246"/>
      <c r="G43" s="291"/>
      <c r="H43" s="291"/>
    </row>
    <row r="50" spans="3:3" x14ac:dyDescent="0.2">
      <c r="C50" s="246"/>
    </row>
  </sheetData>
  <sheetProtection password="C632" sheet="1" objects="1" scenarios="1"/>
  <mergeCells count="1">
    <mergeCell ref="B41:C41"/>
  </mergeCells>
  <phoneticPr fontId="34" type="noConversion"/>
  <hyperlinks>
    <hyperlink ref="A4" location="info!A93" display="C1"/>
    <hyperlink ref="A21" location="info!A96" display="C2"/>
    <hyperlink ref="A29" location="info!A99" display="C3"/>
    <hyperlink ref="A33" location="info!A102" display="C4"/>
    <hyperlink ref="A37" location="info!A105" display="C5"/>
    <hyperlink ref="A41" location="info!A108" display="C6"/>
  </hyperlinks>
  <pageMargins left="0.7" right="0.7" top="0.75" bottom="0.75" header="0.3" footer="0.3"/>
  <pageSetup paperSize="9" orientation="portrait" horizontalDpi="4294967295" verticalDpi="4294967295"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workbookViewId="0">
      <selection activeCell="G9" sqref="G9"/>
    </sheetView>
  </sheetViews>
  <sheetFormatPr defaultRowHeight="15" x14ac:dyDescent="0.25"/>
  <cols>
    <col min="1" max="1" width="5.7109375" customWidth="1"/>
    <col min="2" max="2" width="21.28515625" customWidth="1"/>
    <col min="3" max="3" width="39.7109375" bestFit="1" customWidth="1"/>
    <col min="4" max="4" width="15.7109375" bestFit="1" customWidth="1"/>
  </cols>
  <sheetData>
    <row r="1" spans="1:7" ht="16.5" thickBot="1" x14ac:dyDescent="0.3">
      <c r="A1" s="119"/>
      <c r="B1" s="119" t="s">
        <v>116</v>
      </c>
      <c r="C1" s="119"/>
      <c r="D1" s="118"/>
    </row>
    <row r="3" spans="1:7" x14ac:dyDescent="0.25">
      <c r="A3" s="116" t="s">
        <v>310</v>
      </c>
      <c r="B3" s="276" t="s">
        <v>364</v>
      </c>
      <c r="C3" s="277"/>
      <c r="D3" s="278" t="s">
        <v>181</v>
      </c>
      <c r="E3" s="692">
        <v>0</v>
      </c>
    </row>
    <row r="4" spans="1:7" x14ac:dyDescent="0.25">
      <c r="A4" s="116" t="s">
        <v>311</v>
      </c>
      <c r="B4" s="276" t="s">
        <v>366</v>
      </c>
      <c r="C4" s="276"/>
      <c r="D4" s="278" t="s">
        <v>181</v>
      </c>
      <c r="E4" s="857">
        <f>'Vettori energetici'!J27*100</f>
        <v>15</v>
      </c>
      <c r="F4" s="117"/>
      <c r="G4" s="117"/>
    </row>
    <row r="5" spans="1:7" x14ac:dyDescent="0.25">
      <c r="A5" s="116" t="s">
        <v>312</v>
      </c>
      <c r="B5" s="276" t="s">
        <v>319</v>
      </c>
      <c r="C5" s="279"/>
      <c r="D5" s="280" t="s">
        <v>9</v>
      </c>
      <c r="E5" s="692">
        <v>0</v>
      </c>
      <c r="F5" s="117"/>
      <c r="G5" s="117"/>
    </row>
    <row r="6" spans="1:7" x14ac:dyDescent="0.25">
      <c r="A6" s="116" t="s">
        <v>313</v>
      </c>
      <c r="B6" s="276" t="s">
        <v>365</v>
      </c>
      <c r="C6" s="279"/>
      <c r="D6" s="280" t="s">
        <v>139</v>
      </c>
      <c r="E6" s="692">
        <v>0</v>
      </c>
      <c r="F6" s="117"/>
      <c r="G6" s="117"/>
    </row>
    <row r="7" spans="1:7" x14ac:dyDescent="0.25">
      <c r="B7" s="160"/>
      <c r="C7" s="160"/>
      <c r="D7" s="160"/>
      <c r="E7" s="160"/>
      <c r="F7" s="117"/>
      <c r="G7" s="117"/>
    </row>
    <row r="8" spans="1:7" x14ac:dyDescent="0.25">
      <c r="F8" s="117"/>
      <c r="G8" s="117"/>
    </row>
    <row r="9" spans="1:7" ht="15.75" x14ac:dyDescent="0.25">
      <c r="A9" s="116" t="s">
        <v>321</v>
      </c>
      <c r="B9" s="182" t="s">
        <v>496</v>
      </c>
      <c r="D9" s="71" t="s">
        <v>1</v>
      </c>
    </row>
    <row r="10" spans="1:7" x14ac:dyDescent="0.25">
      <c r="B10" s="72" t="s">
        <v>69</v>
      </c>
      <c r="C10" s="3"/>
      <c r="D10" s="281">
        <f>SUM(D11:D12)</f>
        <v>0</v>
      </c>
    </row>
    <row r="11" spans="1:7" ht="12.75" customHeight="1" x14ac:dyDescent="0.25">
      <c r="B11" s="2"/>
      <c r="C11" s="2" t="s">
        <v>21</v>
      </c>
      <c r="D11" s="282">
        <f>E3/100*' Dati tecnici e stima domanda'!D16</f>
        <v>0</v>
      </c>
    </row>
    <row r="12" spans="1:7" x14ac:dyDescent="0.25">
      <c r="B12" s="2"/>
      <c r="C12" s="2" t="s">
        <v>23</v>
      </c>
      <c r="D12" s="282">
        <f>E4*'Vettori energetici'!H27</f>
        <v>0</v>
      </c>
    </row>
    <row r="13" spans="1:7" x14ac:dyDescent="0.25">
      <c r="B13" s="2"/>
      <c r="C13" s="2"/>
      <c r="D13" s="283"/>
    </row>
    <row r="14" spans="1:7" x14ac:dyDescent="0.25">
      <c r="B14" s="3" t="s">
        <v>70</v>
      </c>
      <c r="C14" s="3"/>
      <c r="D14" s="283">
        <f>D16+D15</f>
        <v>0</v>
      </c>
    </row>
    <row r="15" spans="1:7" ht="12.75" customHeight="1" x14ac:dyDescent="0.25">
      <c r="B15" s="2"/>
      <c r="C15" s="2" t="s">
        <v>22</v>
      </c>
      <c r="D15" s="282">
        <f>E6*' Dati tecnici e stima domanda'!D5</f>
        <v>0</v>
      </c>
    </row>
    <row r="16" spans="1:7" x14ac:dyDescent="0.25">
      <c r="B16" s="2"/>
      <c r="C16" s="2" t="s">
        <v>11</v>
      </c>
      <c r="D16" s="282">
        <f>E5*' Dati tecnici e stima domanda'!D17/B17</f>
        <v>0</v>
      </c>
    </row>
    <row r="17" spans="2:4" x14ac:dyDescent="0.25">
      <c r="B17" s="2">
        <v>30</v>
      </c>
      <c r="C17" s="2" t="s">
        <v>182</v>
      </c>
      <c r="D17" s="282"/>
    </row>
    <row r="18" spans="2:4" x14ac:dyDescent="0.25">
      <c r="B18" s="3" t="s">
        <v>71</v>
      </c>
      <c r="C18" s="28"/>
      <c r="D18" s="283">
        <f>D19</f>
        <v>0</v>
      </c>
    </row>
    <row r="19" spans="2:4" x14ac:dyDescent="0.25">
      <c r="B19" s="2"/>
      <c r="C19" s="4" t="s">
        <v>24</v>
      </c>
      <c r="D19" s="692">
        <v>0</v>
      </c>
    </row>
    <row r="20" spans="2:4" x14ac:dyDescent="0.25">
      <c r="B20" s="89" t="s">
        <v>20</v>
      </c>
      <c r="C20" s="90"/>
      <c r="D20" s="91">
        <f>D10+D14+D18</f>
        <v>0</v>
      </c>
    </row>
    <row r="25" spans="2:4" x14ac:dyDescent="0.25">
      <c r="B25" s="1" t="s">
        <v>555</v>
      </c>
    </row>
    <row r="26" spans="2:4" x14ac:dyDescent="0.25">
      <c r="B26" s="2" t="s">
        <v>553</v>
      </c>
      <c r="C26" s="88" t="e">
        <f>D10/D20</f>
        <v>#DIV/0!</v>
      </c>
    </row>
    <row r="27" spans="2:4" x14ac:dyDescent="0.25">
      <c r="B27" s="2" t="s">
        <v>552</v>
      </c>
      <c r="C27" s="88" t="e">
        <f>D15/D20</f>
        <v>#DIV/0!</v>
      </c>
    </row>
    <row r="28" spans="2:4" x14ac:dyDescent="0.25">
      <c r="B28" s="2" t="s">
        <v>554</v>
      </c>
      <c r="C28" s="88" t="e">
        <f>D14/D20</f>
        <v>#DIV/0!</v>
      </c>
    </row>
    <row r="29" spans="2:4" x14ac:dyDescent="0.25">
      <c r="B29" s="2" t="s">
        <v>147</v>
      </c>
      <c r="C29" s="88" t="e">
        <f>D18/D20</f>
        <v>#DIV/0!</v>
      </c>
    </row>
  </sheetData>
  <sheetProtection password="C632" sheet="1" objects="1" scenarios="1"/>
  <phoneticPr fontId="34" type="noConversion"/>
  <hyperlinks>
    <hyperlink ref="A3" location="info!A114" display="R1"/>
    <hyperlink ref="A4" location="info!A117" display="R2"/>
    <hyperlink ref="A5" location="info!A120" display="R3"/>
    <hyperlink ref="A6" location="info!A123" display="R4"/>
    <hyperlink ref="A9" location="info!A126" display="R5"/>
  </hyperlinks>
  <pageMargins left="0.7" right="0.7" top="0.75" bottom="0.75" header="0.3" footer="0.3"/>
  <pageSetup paperSize="9" orientation="portrait" horizontalDpi="4294967295" verticalDpi="4294967295"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selection activeCell="C7" sqref="C7"/>
    </sheetView>
  </sheetViews>
  <sheetFormatPr defaultRowHeight="15" x14ac:dyDescent="0.25"/>
  <cols>
    <col min="1" max="1" width="5.7109375" customWidth="1"/>
    <col min="2" max="2" width="41.28515625" customWidth="1"/>
    <col min="3" max="3" width="57.5703125" bestFit="1" customWidth="1"/>
    <col min="4" max="4" width="17" bestFit="1" customWidth="1"/>
    <col min="5" max="5" width="9.7109375" bestFit="1" customWidth="1"/>
    <col min="6" max="6" width="12.140625" bestFit="1" customWidth="1"/>
  </cols>
  <sheetData>
    <row r="1" spans="1:6" ht="16.5" thickBot="1" x14ac:dyDescent="0.3">
      <c r="A1" s="119"/>
      <c r="B1" s="119" t="s">
        <v>117</v>
      </c>
      <c r="C1" s="119"/>
      <c r="D1" s="118"/>
    </row>
    <row r="2" spans="1:6" s="117" customFormat="1" ht="15.75" x14ac:dyDescent="0.25">
      <c r="A2" s="182"/>
      <c r="B2" s="182"/>
      <c r="C2" s="182"/>
      <c r="D2" s="182"/>
    </row>
    <row r="3" spans="1:6" ht="15.75" thickBot="1" x14ac:dyDescent="0.3">
      <c r="A3" s="116" t="s">
        <v>316</v>
      </c>
    </row>
    <row r="4" spans="1:6" ht="15.75" thickBot="1" x14ac:dyDescent="0.3">
      <c r="B4" s="29" t="s">
        <v>65</v>
      </c>
      <c r="C4" s="5"/>
      <c r="D4" s="64"/>
      <c r="E4" s="5"/>
    </row>
    <row r="5" spans="1:6" x14ac:dyDescent="0.25">
      <c r="B5" s="63" t="s">
        <v>66</v>
      </c>
      <c r="C5" s="15" t="s">
        <v>132</v>
      </c>
      <c r="D5" s="165" t="s">
        <v>488</v>
      </c>
      <c r="E5" s="164" t="e">
        <f>' Dati tecnici e stima domanda'!D29/' Dati tecnici e stima domanda'!D43</f>
        <v>#DIV/0!</v>
      </c>
    </row>
    <row r="6" spans="1:6" x14ac:dyDescent="0.25">
      <c r="B6" s="6" t="s">
        <v>131</v>
      </c>
      <c r="C6" s="2" t="s">
        <v>76</v>
      </c>
      <c r="D6" s="166" t="s">
        <v>485</v>
      </c>
      <c r="E6" s="61" t="e">
        <f>' Dati tecnici e stima domanda'!D16/' Dati tecnici e stima domanda'!D25</f>
        <v>#DIV/0!</v>
      </c>
    </row>
    <row r="7" spans="1:6" ht="15.75" thickBot="1" x14ac:dyDescent="0.3">
      <c r="B7" s="66" t="str">
        <f>' Dati tecnici e stima domanda'!B59</f>
        <v>Densità termica della rete</v>
      </c>
      <c r="C7" s="14" t="s">
        <v>515</v>
      </c>
      <c r="D7" s="167" t="s">
        <v>486</v>
      </c>
      <c r="E7" s="163" t="e">
        <f>' Dati tecnici e stima domanda'!D59*1000</f>
        <v>#DIV/0!</v>
      </c>
    </row>
    <row r="8" spans="1:6" ht="15.75" thickBot="1" x14ac:dyDescent="0.3">
      <c r="B8" s="5"/>
      <c r="C8" s="5"/>
      <c r="D8" s="22"/>
      <c r="E8" s="5"/>
    </row>
    <row r="9" spans="1:6" ht="15.75" thickBot="1" x14ac:dyDescent="0.3">
      <c r="B9" s="29" t="s">
        <v>492</v>
      </c>
      <c r="C9" s="5"/>
      <c r="D9" s="22"/>
      <c r="E9" s="5"/>
    </row>
    <row r="10" spans="1:6" x14ac:dyDescent="0.25">
      <c r="B10" s="63"/>
      <c r="C10" s="15" t="s">
        <v>67</v>
      </c>
      <c r="D10" s="165" t="s">
        <v>487</v>
      </c>
      <c r="E10" s="262" t="e">
        <f>' Dati tecnici e stima domanda'!D29/' Dati tecnici e stima domanda'!D5</f>
        <v>#DIV/0!</v>
      </c>
    </row>
    <row r="11" spans="1:6" x14ac:dyDescent="0.25">
      <c r="B11" s="6" t="s">
        <v>74</v>
      </c>
      <c r="C11" s="2" t="s">
        <v>133</v>
      </c>
      <c r="D11" s="166" t="s">
        <v>2</v>
      </c>
      <c r="E11" s="30">
        <f>'Business Plan'!D18</f>
        <v>0.9</v>
      </c>
    </row>
    <row r="12" spans="1:6" x14ac:dyDescent="0.25">
      <c r="B12" s="6"/>
      <c r="C12" s="2" t="s">
        <v>134</v>
      </c>
      <c r="D12" s="166" t="s">
        <v>2</v>
      </c>
      <c r="E12" s="30">
        <f>'Business Plan'!I18</f>
        <v>1</v>
      </c>
    </row>
    <row r="13" spans="1:6" ht="15.75" thickBot="1" x14ac:dyDescent="0.3">
      <c r="B13" s="13"/>
      <c r="C13" s="14" t="s">
        <v>68</v>
      </c>
      <c r="D13" s="167" t="s">
        <v>2</v>
      </c>
      <c r="E13" s="67" t="e">
        <f>' Dati tecnici e stima domanda'!D8/' Dati tecnici e stima domanda'!D5</f>
        <v>#DIV/0!</v>
      </c>
    </row>
    <row r="14" spans="1:6" ht="15.75" thickBot="1" x14ac:dyDescent="0.3">
      <c r="B14" s="5"/>
      <c r="C14" s="5"/>
      <c r="D14" s="22"/>
      <c r="E14" s="65"/>
    </row>
    <row r="15" spans="1:6" ht="15.75" thickBot="1" x14ac:dyDescent="0.3">
      <c r="B15" s="29" t="s">
        <v>78</v>
      </c>
      <c r="C15" s="5"/>
      <c r="D15" s="151"/>
      <c r="E15" s="5"/>
      <c r="F15" s="263"/>
    </row>
    <row r="16" spans="1:6" x14ac:dyDescent="0.25">
      <c r="B16" s="63" t="s">
        <v>88</v>
      </c>
      <c r="C16" s="15" t="s">
        <v>279</v>
      </c>
      <c r="D16" s="168"/>
      <c r="E16" s="164" t="e">
        <f>' Dati tecnici e stima domanda'!D6/' Dati tecnici e stima domanda'!D13*1000</f>
        <v>#DIV/0!</v>
      </c>
      <c r="F16" s="263"/>
    </row>
    <row r="17" spans="2:6" x14ac:dyDescent="0.25">
      <c r="B17" s="6"/>
      <c r="C17" s="2" t="s">
        <v>136</v>
      </c>
      <c r="D17" s="169"/>
      <c r="E17" s="172" t="e">
        <f>' Dati tecnici e stima domanda'!D6/' Dati tecnici e stima domanda'!D10*1000000</f>
        <v>#DIV/0!</v>
      </c>
      <c r="F17" s="263"/>
    </row>
    <row r="18" spans="2:6" x14ac:dyDescent="0.25">
      <c r="B18" s="6" t="s">
        <v>89</v>
      </c>
      <c r="C18" s="2" t="s">
        <v>278</v>
      </c>
      <c r="D18" s="169"/>
      <c r="E18" s="172" t="e">
        <f>' Dati tecnici e stima domanda'!D7/' Dati tecnici e stima domanda'!D13*1000</f>
        <v>#DIV/0!</v>
      </c>
      <c r="F18" s="263"/>
    </row>
    <row r="19" spans="2:6" x14ac:dyDescent="0.25">
      <c r="B19" s="6"/>
      <c r="C19" s="2" t="s">
        <v>137</v>
      </c>
      <c r="D19" s="169"/>
      <c r="E19" s="172" t="e">
        <f>' Dati tecnici e stima domanda'!D7/' Dati tecnici e stima domanda'!D10*1000000</f>
        <v>#DIV/0!</v>
      </c>
      <c r="F19" s="263"/>
    </row>
    <row r="20" spans="2:6" x14ac:dyDescent="0.25">
      <c r="B20" s="6" t="s">
        <v>121</v>
      </c>
      <c r="C20" s="2" t="s">
        <v>277</v>
      </c>
      <c r="D20" s="169"/>
      <c r="E20" s="172" t="e">
        <f>' Dati tecnici e stima domanda'!D5/' Dati tecnici e stima domanda'!D13*1000</f>
        <v>#DIV/0!</v>
      </c>
      <c r="F20" s="263"/>
    </row>
    <row r="21" spans="2:6" x14ac:dyDescent="0.25">
      <c r="B21" s="6"/>
      <c r="C21" s="2" t="s">
        <v>135</v>
      </c>
      <c r="D21" s="169"/>
      <c r="E21" s="172" t="e">
        <f>' Dati tecnici e stima domanda'!D5/' Dati tecnici e stima domanda'!D10*1000000</f>
        <v>#DIV/0!</v>
      </c>
      <c r="F21" s="263"/>
    </row>
    <row r="22" spans="2:6" ht="15.75" thickBot="1" x14ac:dyDescent="0.3">
      <c r="B22" s="13"/>
      <c r="C22" s="14" t="s">
        <v>130</v>
      </c>
      <c r="D22" s="170" t="s">
        <v>489</v>
      </c>
      <c r="E22" s="163" t="e">
        <f>' Dati tecnici e stima domanda'!D16/' Dati tecnici e stima domanda'!D9</f>
        <v>#DIV/0!</v>
      </c>
      <c r="F22" s="263"/>
    </row>
    <row r="23" spans="2:6" ht="15.75" thickBot="1" x14ac:dyDescent="0.3">
      <c r="B23" s="5"/>
      <c r="C23" s="5"/>
      <c r="D23" s="171"/>
      <c r="E23" s="62"/>
    </row>
    <row r="24" spans="2:6" ht="15.75" thickBot="1" x14ac:dyDescent="0.3">
      <c r="B24" s="29" t="s">
        <v>138</v>
      </c>
      <c r="C24" s="5"/>
      <c r="D24" s="171"/>
      <c r="E24" s="5"/>
      <c r="F24" s="2" t="s">
        <v>183</v>
      </c>
    </row>
    <row r="25" spans="2:6" x14ac:dyDescent="0.25">
      <c r="B25" s="63"/>
      <c r="C25" s="15" t="str">
        <f>' Dati tecnici e stima domanda'!B57</f>
        <v>Densità termica del territorio</v>
      </c>
      <c r="D25" s="168" t="str">
        <f>' Dati tecnici e stima domanda'!C57</f>
        <v>(kWh/a)/m2</v>
      </c>
      <c r="E25" s="68" t="e">
        <f>' Dati tecnici e stima domanda'!D57</f>
        <v>#DIV/0!</v>
      </c>
      <c r="F25" s="92" t="s">
        <v>202</v>
      </c>
    </row>
    <row r="26" spans="2:6" x14ac:dyDescent="0.25">
      <c r="B26" s="6"/>
      <c r="C26" s="2" t="str">
        <f>' Dati tecnici e stima domanda'!B58</f>
        <v>Densità termica del territorio</v>
      </c>
      <c r="D26" s="169" t="str">
        <f>' Dati tecnici e stima domanda'!C58</f>
        <v>MW/km2</v>
      </c>
      <c r="E26" s="69" t="e">
        <f>' Dati tecnici e stima domanda'!D58</f>
        <v>#DIV/0!</v>
      </c>
      <c r="F26" s="92" t="s">
        <v>203</v>
      </c>
    </row>
    <row r="27" spans="2:6" x14ac:dyDescent="0.25">
      <c r="B27" s="6"/>
      <c r="C27" s="2" t="str">
        <f>' Dati tecnici e stima domanda'!B59</f>
        <v>Densità termica della rete</v>
      </c>
      <c r="D27" s="169" t="str">
        <f>' Dati tecnici e stima domanda'!C59</f>
        <v>(MWh/a)/m</v>
      </c>
      <c r="E27" s="173" t="e">
        <f>' Dati tecnici e stima domanda'!D59</f>
        <v>#DIV/0!</v>
      </c>
      <c r="F27" s="92" t="s">
        <v>204</v>
      </c>
    </row>
    <row r="28" spans="2:6" ht="15.75" thickBot="1" x14ac:dyDescent="0.3">
      <c r="B28" s="13"/>
      <c r="C28" s="14" t="str">
        <f>' Dati tecnici e stima domanda'!B60</f>
        <v>Densità termica della rete</v>
      </c>
      <c r="D28" s="170" t="str">
        <f>' Dati tecnici e stima domanda'!C60</f>
        <v>kW/m</v>
      </c>
      <c r="E28" s="70" t="e">
        <f>' Dati tecnici e stima domanda'!D60</f>
        <v>#DIV/0!</v>
      </c>
      <c r="F28" s="92" t="s">
        <v>205</v>
      </c>
    </row>
  </sheetData>
  <sheetProtection password="C632" sheet="1" objects="1" scenarios="1"/>
  <phoneticPr fontId="34" type="noConversion"/>
  <hyperlinks>
    <hyperlink ref="A3" location="info!A131" display="T1"/>
  </hyperlinks>
  <pageMargins left="0.7" right="0.7" top="0.75" bottom="0.75" header="0.3" footer="0.3"/>
  <pageSetup paperSize="9"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2</vt:i4>
      </vt:variant>
    </vt:vector>
  </HeadingPairs>
  <TitlesOfParts>
    <vt:vector size="16" baseType="lpstr">
      <vt:lpstr>Procedura</vt:lpstr>
      <vt:lpstr> Dati tecnici e stima domanda</vt:lpstr>
      <vt:lpstr>Vettori energetici</vt:lpstr>
      <vt:lpstr>Investimenti</vt:lpstr>
      <vt:lpstr>Incentivi</vt:lpstr>
      <vt:lpstr>Personale</vt:lpstr>
      <vt:lpstr>Costi</vt:lpstr>
      <vt:lpstr>Prezzi e Ricavi</vt:lpstr>
      <vt:lpstr>Indicatori tecnici</vt:lpstr>
      <vt:lpstr>Indicatori economici</vt:lpstr>
      <vt:lpstr>Indicatori ambientali</vt:lpstr>
      <vt:lpstr>Business Plan</vt:lpstr>
      <vt:lpstr>Riassunto</vt:lpstr>
      <vt:lpstr>info</vt:lpstr>
      <vt:lpstr>'Indicatori tecnici'!Area_stampa</vt:lpstr>
      <vt:lpstr>Investimenti!Area_stampa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Fasciana Michele</cp:lastModifiedBy>
  <cp:lastPrinted>2015-02-11T17:42:09Z</cp:lastPrinted>
  <dcterms:created xsi:type="dcterms:W3CDTF">2014-01-28T13:32:16Z</dcterms:created>
  <dcterms:modified xsi:type="dcterms:W3CDTF">2016-12-07T10:44:33Z</dcterms:modified>
</cp:coreProperties>
</file>